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Default Extension="docx" ContentType="application/vnd.openxmlformats-officedocument.wordprocessingml.document"/>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0" windowWidth="14745" windowHeight="12390" tabRatio="485"/>
  </bookViews>
  <sheets>
    <sheet name="CustMeas" sheetId="10" r:id="rId1"/>
    <sheet name="Evap Fan VFDs" sheetId="1" r:id="rId2"/>
    <sheet name="Application" sheetId="3" r:id="rId3"/>
    <sheet name="Cascade Findings" sheetId="6" state="hidden" r:id="rId4"/>
    <sheet name="Condenser Fan Savings" sheetId="5" state="hidden" r:id="rId5"/>
    <sheet name="Data" sheetId="4" state="hidden" r:id="rId6"/>
    <sheet name="Metering" sheetId="9" state="hidden" r:id="rId7"/>
    <sheet name="LSYield" sheetId="11" state="hidden" r:id="rId8"/>
  </sheets>
  <externalReferences>
    <externalReference r:id="rId9"/>
    <externalReference r:id="rId10"/>
    <externalReference r:id="rId11"/>
    <externalReference r:id="rId12"/>
    <externalReference r:id="rId13"/>
    <externalReference r:id="rId14"/>
  </externalReferences>
  <definedNames>
    <definedName name="_5th_Plan_Building_Type_Names">'[1]BType Names'!$A$2:$B$19</definedName>
    <definedName name="AverageLife" localSheetId="0">#REF!</definedName>
    <definedName name="AverageLife">#REF!</definedName>
    <definedName name="BC_Ratio">[2]ProjectBC!$C$14</definedName>
    <definedName name="BHP_3">'[3]BHP Data'!#REF!</definedName>
    <definedName name="BHP_4">'[3]BHP Data'!#REF!</definedName>
    <definedName name="BPA_Reimbursement">#REF!</definedName>
    <definedName name="Btype" localSheetId="0">[4]LSYield!$D$2</definedName>
    <definedName name="Btype" localSheetId="7">LSYield!$D$2</definedName>
    <definedName name="Btype">[2]LSYield!$D$2</definedName>
    <definedName name="BTypeNames" localSheetId="0">[4]LSYield!$D$5:$D$27</definedName>
    <definedName name="BTypeNames" localSheetId="7">LSYield!$D$5:$D$27</definedName>
    <definedName name="BTypeNames">[2]LSYield!$D$5:$D$27</definedName>
    <definedName name="C_3b">'[3]BHP Data'!#REF!</definedName>
    <definedName name="C_4b">'[3]BHP Data'!#REF!</definedName>
    <definedName name="Cost" localSheetId="0">#REF!</definedName>
    <definedName name="Cost">#REF!</definedName>
    <definedName name="Cost_Data_03">'[5]Cost Data 03'!$B$3:$M$110</definedName>
    <definedName name="Credit_Data">#REF!</definedName>
    <definedName name="Data" localSheetId="0">#REF!</definedName>
    <definedName name="Data">#REF!</definedName>
    <definedName name="DiscountRate" localSheetId="0">[4]ProjectBC!$G$7</definedName>
    <definedName name="DiscountRate">[2]ProjectBC!$G$7</definedName>
    <definedName name="Existing" localSheetId="0">'[4]Data Existing'!$B$3:$H$202</definedName>
    <definedName name="Existing" localSheetId="7">'[6]Data Existing'!$B$3:$H$202</definedName>
    <definedName name="Existing">'[2]Data Existing'!$B$3:$H$202</definedName>
    <definedName name="Existing_Description" localSheetId="0">'[4]Data Existing'!$B$4:$B$202</definedName>
    <definedName name="Existing_Description" localSheetId="7">'[6]Data Existing'!$B$4:$B$202</definedName>
    <definedName name="Existing_Description">'[2]Data Existing'!$B$4:$B$202</definedName>
    <definedName name="Family" localSheetId="0">#REF!</definedName>
    <definedName name="Family">#REF!</definedName>
    <definedName name="ID" localSheetId="0">#REF!</definedName>
    <definedName name="ID">#REF!</definedName>
    <definedName name="Labor" localSheetId="0">#REF!</definedName>
    <definedName name="Labor">#REF!</definedName>
    <definedName name="Lighting_Controls" localSheetId="0">'[4]Proposed Controls'!$B$4:$B$58</definedName>
    <definedName name="Lighting_Controls">'[2]Proposed Controls'!$B$4:$B$58</definedName>
    <definedName name="LSYield" localSheetId="7">LSYield!$F$5:$Z$30</definedName>
    <definedName name="LSYield">[2]LSYield!$F$5:$Z$30</definedName>
    <definedName name="MeasureLife" localSheetId="0">#REF!</definedName>
    <definedName name="MeasureLife">'[2]Project Summary'!$I$21</definedName>
    <definedName name="NPV_kWh">[2]ShapePV!$C$4:$D$56</definedName>
    <definedName name="Number" localSheetId="0">#REF!</definedName>
    <definedName name="Number">#REF!</definedName>
    <definedName name="OandM" localSheetId="0">#REF!</definedName>
    <definedName name="OandM">'[2]Project Summary'!$I$11</definedName>
    <definedName name="Occ_Sensor" localSheetId="0">'[4]Proposed Controls'!$B$3:$D$58</definedName>
    <definedName name="Occ_Sensor" localSheetId="7">'[6]Proposed Controls'!$B$3:$D$58</definedName>
    <definedName name="Occ_Sensor" comment="If applicable, select a lighting control.">'[2]Proposed Controls'!$B$3:$D$58</definedName>
    <definedName name="OperatingHours" localSheetId="0">#REF!</definedName>
    <definedName name="OperatingHours">#REF!</definedName>
    <definedName name="_xlnm.Print_Area" localSheetId="3">'Cascade Findings'!$A$1:$J$9</definedName>
    <definedName name="_xlnm.Print_Area" localSheetId="0">CustMeas!$A$2:$E$38</definedName>
    <definedName name="_xlnm.Print_Area" localSheetId="1">'Evap Fan VFDs'!$A$1:$K$59</definedName>
    <definedName name="Print_Area_MI" localSheetId="3">#REF!</definedName>
    <definedName name="Print_Area_MI" localSheetId="1">#REF!</definedName>
    <definedName name="Project_Cost" localSheetId="0">#REF!</definedName>
    <definedName name="Project_Cost">'[2]Project Summary'!$I$17</definedName>
    <definedName name="Proposed" localSheetId="0">'[4]Data Proposed'!$B$3:$S$282</definedName>
    <definedName name="Proposed" localSheetId="7">'[6]Data Proposed'!$B$3:$S$282</definedName>
    <definedName name="Proposed">'[2]Data Proposed'!$B$3:$S$283</definedName>
    <definedName name="Proposed_Description" localSheetId="0">'[4]Data Proposed'!$B$4:$B$272</definedName>
    <definedName name="Proposed_Description" localSheetId="7">'[6]Data Proposed'!$B$4:$B$272</definedName>
    <definedName name="Proposed_Description">'[2]Data Proposed'!$B$4:$B$273</definedName>
    <definedName name="PV" localSheetId="0">#REF!</definedName>
    <definedName name="PV">#REF!</definedName>
    <definedName name="PV_Energy_Cost" localSheetId="0">#REF!</definedName>
    <definedName name="PV_Energy_Cost">'[2]Project Summary'!$I$34</definedName>
    <definedName name="PV_Energy_Saved" localSheetId="0">#REF!</definedName>
    <definedName name="PV_Energy_Saved">'[2]Project Summary'!$I$33</definedName>
    <definedName name="PV_Gas_OM" localSheetId="0">#REF!</definedName>
    <definedName name="PV_Gas_OM">'[2]Project Summary'!$I$37</definedName>
    <definedName name="PV_LifeCycle_Cost">#REF!</definedName>
    <definedName name="PV_OandM" localSheetId="0">#REF!</definedName>
    <definedName name="PV_OandM">'[2]Project Summary'!$I$39</definedName>
    <definedName name="PV_Other_OM" localSheetId="0">#REF!</definedName>
    <definedName name="PV_Other_OM">'[2]Project Summary'!$I$36</definedName>
    <definedName name="PV_ReLamp_Cost" localSheetId="0">#REF!</definedName>
    <definedName name="PV_ReLamp_Cost">'[2]Project Summary'!$I$38</definedName>
    <definedName name="Rate_Sch" localSheetId="7">LSYield!$T$6:$T$10</definedName>
    <definedName name="Rate_Sch">[2]LSYield!$T$6:$T$10</definedName>
    <definedName name="S_3b">'[3]BHP Data'!#REF!</definedName>
    <definedName name="S_4b">'[3]BHP Data'!#REF!</definedName>
    <definedName name="Savings_Busbar" localSheetId="0">#REF!</definedName>
    <definedName name="Savings_Busbar">'[2]Project Summary'!$I$25</definedName>
    <definedName name="Simple_Payback">#REF!</definedName>
    <definedName name="SpaceHeat" localSheetId="7">LSYield!$E$2</definedName>
    <definedName name="SpaceHeat">[2]LSYield!$E$2</definedName>
    <definedName name="SpaceHeatNames" localSheetId="0">[4]LSYield!$E$5:$E$12</definedName>
    <definedName name="SpaceHeatNames" localSheetId="7">LSYield!$E$5:$E$12</definedName>
    <definedName name="SpaceHeatNames">[2]LSYield!$E$5:$E$12</definedName>
  </definedNames>
  <calcPr calcId="125725"/>
</workbook>
</file>

<file path=xl/calcChain.xml><?xml version="1.0" encoding="utf-8"?>
<calcChain xmlns="http://schemas.openxmlformats.org/spreadsheetml/2006/main">
  <c r="F16" i="3"/>
  <c r="F17"/>
  <c r="F18"/>
  <c r="F19"/>
  <c r="F20"/>
  <c r="F21"/>
  <c r="F22"/>
  <c r="F23"/>
  <c r="F24"/>
  <c r="F15"/>
  <c r="E41" i="1"/>
  <c r="E40"/>
  <c r="E39"/>
  <c r="E38"/>
  <c r="E37"/>
  <c r="E36"/>
  <c r="E35"/>
  <c r="E30"/>
  <c r="E29"/>
  <c r="E28"/>
  <c r="E27"/>
  <c r="E26"/>
  <c r="E25"/>
  <c r="E24"/>
  <c r="E23"/>
  <c r="E22"/>
  <c r="E21"/>
  <c r="F21" s="1"/>
  <c r="E20"/>
  <c r="E19"/>
  <c r="E18"/>
  <c r="E17"/>
  <c r="E16"/>
  <c r="F16" s="1"/>
  <c r="E15"/>
  <c r="E14"/>
  <c r="E13"/>
  <c r="E12"/>
  <c r="F12" s="1"/>
  <c r="E11"/>
  <c r="E10"/>
  <c r="E9"/>
  <c r="E8"/>
  <c r="F8" s="1"/>
  <c r="E7"/>
  <c r="E6"/>
  <c r="B3"/>
  <c r="B2"/>
  <c r="B1"/>
  <c r="L18"/>
  <c r="G18"/>
  <c r="F18"/>
  <c r="L17"/>
  <c r="G17"/>
  <c r="F17"/>
  <c r="L16"/>
  <c r="G16"/>
  <c r="L15"/>
  <c r="G15"/>
  <c r="F15"/>
  <c r="L14"/>
  <c r="G14"/>
  <c r="F14"/>
  <c r="L13"/>
  <c r="G13"/>
  <c r="F13"/>
  <c r="L12"/>
  <c r="G12"/>
  <c r="L11"/>
  <c r="G11"/>
  <c r="F11"/>
  <c r="L10"/>
  <c r="G10"/>
  <c r="F10"/>
  <c r="L9"/>
  <c r="G9"/>
  <c r="F9"/>
  <c r="L23"/>
  <c r="G23"/>
  <c r="F23"/>
  <c r="L22"/>
  <c r="G22"/>
  <c r="F22"/>
  <c r="L21"/>
  <c r="G21"/>
  <c r="L20"/>
  <c r="G20"/>
  <c r="F20"/>
  <c r="L19"/>
  <c r="G19"/>
  <c r="F19"/>
  <c r="L8"/>
  <c r="G8"/>
  <c r="L7"/>
  <c r="G7"/>
  <c r="F7"/>
  <c r="D38" i="11"/>
  <c r="A38"/>
  <c r="D29"/>
  <c r="Q27"/>
  <c r="P27"/>
  <c r="O27"/>
  <c r="N27"/>
  <c r="M27"/>
  <c r="Q26"/>
  <c r="P26"/>
  <c r="O26"/>
  <c r="N26"/>
  <c r="M26"/>
  <c r="M25"/>
  <c r="M24"/>
  <c r="M23"/>
  <c r="Q22"/>
  <c r="M22"/>
  <c r="Q21"/>
  <c r="P21"/>
  <c r="O21"/>
  <c r="N21"/>
  <c r="M21"/>
  <c r="Q20"/>
  <c r="P20"/>
  <c r="O20"/>
  <c r="N20"/>
  <c r="M20"/>
  <c r="Q19"/>
  <c r="P19"/>
  <c r="O19"/>
  <c r="N19"/>
  <c r="M19"/>
  <c r="Q18"/>
  <c r="P18"/>
  <c r="O18"/>
  <c r="N18"/>
  <c r="M18"/>
  <c r="Q17"/>
  <c r="P17"/>
  <c r="O17"/>
  <c r="N17"/>
  <c r="M17"/>
  <c r="Q16"/>
  <c r="P16"/>
  <c r="O16"/>
  <c r="N16"/>
  <c r="M16"/>
  <c r="E16"/>
  <c r="Q15"/>
  <c r="P15"/>
  <c r="O15"/>
  <c r="N15"/>
  <c r="M15"/>
  <c r="Q14"/>
  <c r="P14"/>
  <c r="O14"/>
  <c r="N14"/>
  <c r="M14"/>
  <c r="Q13"/>
  <c r="P13"/>
  <c r="O13"/>
  <c r="N13"/>
  <c r="M13"/>
  <c r="Z12"/>
  <c r="Y12"/>
  <c r="X12"/>
  <c r="W12"/>
  <c r="V12"/>
  <c r="T12"/>
  <c r="Q12"/>
  <c r="P12"/>
  <c r="O12"/>
  <c r="N12"/>
  <c r="M12"/>
  <c r="X11"/>
  <c r="Q11"/>
  <c r="P11"/>
  <c r="O11"/>
  <c r="N11"/>
  <c r="M11"/>
  <c r="U10"/>
  <c r="Q10"/>
  <c r="P10"/>
  <c r="O10"/>
  <c r="N10"/>
  <c r="M10"/>
  <c r="U9"/>
  <c r="Q9"/>
  <c r="P9"/>
  <c r="O9"/>
  <c r="N9"/>
  <c r="M9"/>
  <c r="U8"/>
  <c r="Q8"/>
  <c r="P8"/>
  <c r="O8"/>
  <c r="N8"/>
  <c r="M8"/>
  <c r="U7"/>
  <c r="U12" s="1"/>
  <c r="Q7"/>
  <c r="P7"/>
  <c r="O7"/>
  <c r="N7"/>
  <c r="M7"/>
  <c r="Q6"/>
  <c r="P6"/>
  <c r="O6"/>
  <c r="N6"/>
  <c r="M6"/>
  <c r="S51" i="1" l="1"/>
  <c r="S52"/>
  <c r="S53"/>
  <c r="S54"/>
  <c r="S55"/>
  <c r="S56"/>
  <c r="S57"/>
  <c r="S58"/>
  <c r="S59"/>
  <c r="S50"/>
  <c r="R51"/>
  <c r="R52"/>
  <c r="R53"/>
  <c r="R54"/>
  <c r="R55"/>
  <c r="R56"/>
  <c r="R57"/>
  <c r="R58"/>
  <c r="R59"/>
  <c r="R50"/>
  <c r="E4" i="10"/>
  <c r="J51" i="1"/>
  <c r="U51" s="1"/>
  <c r="J52"/>
  <c r="J63" s="1"/>
  <c r="J53"/>
  <c r="J64" s="1"/>
  <c r="J54"/>
  <c r="J65" s="1"/>
  <c r="J55"/>
  <c r="U55" s="1"/>
  <c r="J56"/>
  <c r="J67" s="1"/>
  <c r="J57"/>
  <c r="U57" s="1"/>
  <c r="J58"/>
  <c r="J69" s="1"/>
  <c r="J59"/>
  <c r="U59" s="1"/>
  <c r="J50"/>
  <c r="J61" s="1"/>
  <c r="C50"/>
  <c r="C15" i="3" s="1"/>
  <c r="W57" i="1" l="1"/>
  <c r="U52"/>
  <c r="W52" s="1"/>
  <c r="U54"/>
  <c r="W54" s="1"/>
  <c r="W55"/>
  <c r="W51"/>
  <c r="U56"/>
  <c r="W56" s="1"/>
  <c r="T50"/>
  <c r="V50" s="1"/>
  <c r="U58"/>
  <c r="W58" s="1"/>
  <c r="J70"/>
  <c r="J66"/>
  <c r="J62"/>
  <c r="U53"/>
  <c r="W53" s="1"/>
  <c r="U50"/>
  <c r="W50" s="1"/>
  <c r="J68"/>
  <c r="O63"/>
  <c r="I29" i="6"/>
  <c r="I26"/>
  <c r="I23"/>
  <c r="I20"/>
  <c r="P51" i="1" l="1"/>
  <c r="P52"/>
  <c r="P53"/>
  <c r="P54"/>
  <c r="P55"/>
  <c r="P56"/>
  <c r="P57"/>
  <c r="P58"/>
  <c r="P59"/>
  <c r="P50"/>
  <c r="P60" l="1"/>
  <c r="G26" i="3" s="1"/>
  <c r="G27" s="1"/>
  <c r="G24" i="6"/>
  <c r="G21"/>
  <c r="C21"/>
  <c r="G18"/>
  <c r="C18"/>
  <c r="G15"/>
  <c r="C15"/>
  <c r="E27" i="3" l="1"/>
  <c r="A3"/>
  <c r="H44"/>
  <c r="F44"/>
  <c r="E44"/>
  <c r="E18" i="10"/>
  <c r="E13" i="3" s="1"/>
  <c r="E17" i="10"/>
  <c r="A13" i="3" s="1"/>
  <c r="E16" i="10"/>
  <c r="A11" i="3" s="1"/>
  <c r="A9"/>
  <c r="F9"/>
  <c r="F7"/>
  <c r="F5"/>
  <c r="F3"/>
  <c r="A7"/>
  <c r="A5"/>
  <c r="E55" i="10"/>
  <c r="F8" i="4"/>
  <c r="D32" i="10"/>
  <c r="D31"/>
  <c r="E28"/>
  <c r="E56"/>
  <c r="E35"/>
  <c r="G8" i="4"/>
  <c r="E7" i="9"/>
  <c r="E8"/>
  <c r="E9"/>
  <c r="E10"/>
  <c r="E11"/>
  <c r="E12"/>
  <c r="E13"/>
  <c r="E6"/>
  <c r="E5"/>
  <c r="E14"/>
  <c r="E15" s="1"/>
  <c r="D14"/>
  <c r="D7"/>
  <c r="D8"/>
  <c r="D9"/>
  <c r="D10"/>
  <c r="D11"/>
  <c r="D12"/>
  <c r="D13"/>
  <c r="D6"/>
  <c r="C7"/>
  <c r="C8"/>
  <c r="C9"/>
  <c r="C10"/>
  <c r="C11"/>
  <c r="C12"/>
  <c r="C13"/>
  <c r="C6"/>
  <c r="B14"/>
  <c r="B13"/>
  <c r="B12"/>
  <c r="B11"/>
  <c r="B10"/>
  <c r="B9"/>
  <c r="B8"/>
  <c r="B7"/>
  <c r="B6"/>
  <c r="H49" i="5"/>
  <c r="I49" s="1"/>
  <c r="I50" s="1"/>
  <c r="G49"/>
  <c r="H9" i="6"/>
  <c r="D9"/>
  <c r="C9"/>
  <c r="B9"/>
  <c r="I7"/>
  <c r="E7"/>
  <c r="I6"/>
  <c r="E6"/>
  <c r="I5"/>
  <c r="E5"/>
  <c r="I4"/>
  <c r="E4"/>
  <c r="I3"/>
  <c r="E3"/>
  <c r="I2"/>
  <c r="E2"/>
  <c r="E9" s="1"/>
  <c r="D43" i="1"/>
  <c r="D32"/>
  <c r="H49" s="1"/>
  <c r="L40"/>
  <c r="G40"/>
  <c r="F40"/>
  <c r="L39"/>
  <c r="G39"/>
  <c r="F39"/>
  <c r="L38"/>
  <c r="G38"/>
  <c r="F38"/>
  <c r="F41"/>
  <c r="G41"/>
  <c r="L41"/>
  <c r="L42"/>
  <c r="G36"/>
  <c r="G37"/>
  <c r="G35"/>
  <c r="E37" i="5"/>
  <c r="C35"/>
  <c r="B35"/>
  <c r="D35" s="1"/>
  <c r="E35" s="1"/>
  <c r="C34"/>
  <c r="B34"/>
  <c r="D34" s="1"/>
  <c r="E34" s="1"/>
  <c r="E36" s="1"/>
  <c r="E38" s="1"/>
  <c r="E39" s="1"/>
  <c r="C33"/>
  <c r="B33"/>
  <c r="D33" s="1"/>
  <c r="E33" s="1"/>
  <c r="E30"/>
  <c r="D30"/>
  <c r="E29"/>
  <c r="D29"/>
  <c r="E28"/>
  <c r="D28"/>
  <c r="E27"/>
  <c r="D27"/>
  <c r="A15"/>
  <c r="A16" s="1"/>
  <c r="A17" s="1"/>
  <c r="A18" s="1"/>
  <c r="A19" s="1"/>
  <c r="A20" s="1"/>
  <c r="A21" s="1"/>
  <c r="A22" s="1"/>
  <c r="A23" s="1"/>
  <c r="E9"/>
  <c r="E22" i="10" l="1"/>
  <c r="E16" i="9"/>
  <c r="D44" i="1"/>
  <c r="G34"/>
  <c r="G43"/>
  <c r="H32"/>
  <c r="H43"/>
  <c r="E54" i="10" l="1"/>
  <c r="G44" i="3"/>
  <c r="L31" i="1"/>
  <c r="F24"/>
  <c r="F25"/>
  <c r="F26"/>
  <c r="F27"/>
  <c r="F28"/>
  <c r="F29"/>
  <c r="F30"/>
  <c r="F36"/>
  <c r="F37"/>
  <c r="L37"/>
  <c r="L36"/>
  <c r="L35"/>
  <c r="L24"/>
  <c r="L25"/>
  <c r="L26"/>
  <c r="L27"/>
  <c r="L28"/>
  <c r="L29"/>
  <c r="L30"/>
  <c r="L6"/>
  <c r="F25" i="3"/>
  <c r="E40" i="10"/>
  <c r="C8" i="4"/>
  <c r="D8"/>
  <c r="E8"/>
  <c r="D35" i="10" s="1"/>
  <c r="B8" i="4"/>
  <c r="G3" i="3" s="1"/>
  <c r="D6" i="4"/>
  <c r="C6"/>
  <c r="D5"/>
  <c r="C5"/>
  <c r="F6" i="1" l="1"/>
  <c r="F32" s="1"/>
  <c r="E32"/>
  <c r="F35"/>
  <c r="F43" s="1"/>
  <c r="E43"/>
  <c r="B87"/>
  <c r="B89" s="1"/>
  <c r="B91" s="1"/>
  <c r="B93" s="1"/>
  <c r="B95" s="1"/>
  <c r="B97" s="1"/>
  <c r="B99" s="1"/>
  <c r="B101" s="1"/>
  <c r="B103" s="1"/>
  <c r="A84"/>
  <c r="A86" s="1"/>
  <c r="A63"/>
  <c r="C59"/>
  <c r="C58"/>
  <c r="C57"/>
  <c r="C56"/>
  <c r="H55"/>
  <c r="C55"/>
  <c r="C54"/>
  <c r="C53"/>
  <c r="C52"/>
  <c r="C51"/>
  <c r="G15" i="3"/>
  <c r="A49" i="1"/>
  <c r="T54" l="1"/>
  <c r="V54" s="1"/>
  <c r="C19" i="3"/>
  <c r="G19" s="1"/>
  <c r="C22"/>
  <c r="G22" s="1"/>
  <c r="T57" i="1"/>
  <c r="V57" s="1"/>
  <c r="C18" i="3"/>
  <c r="G18" s="1"/>
  <c r="T53" i="1"/>
  <c r="V53" s="1"/>
  <c r="C21" i="3"/>
  <c r="G21" s="1"/>
  <c r="T56" i="1"/>
  <c r="V56" s="1"/>
  <c r="T52"/>
  <c r="V52" s="1"/>
  <c r="C17" i="3"/>
  <c r="G17" s="1"/>
  <c r="T59" i="1"/>
  <c r="C24" i="3"/>
  <c r="G24" s="1"/>
  <c r="T51" i="1"/>
  <c r="V51" s="1"/>
  <c r="C16" i="3"/>
  <c r="G16" s="1"/>
  <c r="C20"/>
  <c r="G20" s="1"/>
  <c r="T55" i="1"/>
  <c r="V55" s="1"/>
  <c r="C23" i="3"/>
  <c r="G23" s="1"/>
  <c r="T58" i="1"/>
  <c r="V58" s="1"/>
  <c r="O58"/>
  <c r="K58"/>
  <c r="O52"/>
  <c r="K52"/>
  <c r="O59"/>
  <c r="K59"/>
  <c r="O55"/>
  <c r="K55"/>
  <c r="O50"/>
  <c r="K50"/>
  <c r="O54"/>
  <c r="K54"/>
  <c r="O57"/>
  <c r="K57"/>
  <c r="O51"/>
  <c r="K51"/>
  <c r="O53"/>
  <c r="K53"/>
  <c r="O56"/>
  <c r="K56"/>
  <c r="D59"/>
  <c r="L59" s="1"/>
  <c r="G25"/>
  <c r="G27"/>
  <c r="G29"/>
  <c r="G6"/>
  <c r="G24"/>
  <c r="G26"/>
  <c r="G28"/>
  <c r="G30"/>
  <c r="F44"/>
  <c r="E44"/>
  <c r="A65"/>
  <c r="D16" i="3" s="1"/>
  <c r="D15"/>
  <c r="E15" s="1"/>
  <c r="D50" i="1"/>
  <c r="L50" s="1"/>
  <c r="D51"/>
  <c r="L51" s="1"/>
  <c r="D55"/>
  <c r="N55" s="1"/>
  <c r="H52"/>
  <c r="H54" s="1"/>
  <c r="D52"/>
  <c r="N52" s="1"/>
  <c r="D53"/>
  <c r="N53" s="1"/>
  <c r="D54"/>
  <c r="N54" s="1"/>
  <c r="D57"/>
  <c r="L57" s="1"/>
  <c r="D58"/>
  <c r="L58" s="1"/>
  <c r="A88"/>
  <c r="H56"/>
  <c r="D56"/>
  <c r="N56" s="1"/>
  <c r="L53" l="1"/>
  <c r="E16" i="3"/>
  <c r="G25"/>
  <c r="E58" i="1"/>
  <c r="N58"/>
  <c r="E50"/>
  <c r="N50"/>
  <c r="E51"/>
  <c r="N51"/>
  <c r="L56"/>
  <c r="L54"/>
  <c r="L52"/>
  <c r="E57"/>
  <c r="N57"/>
  <c r="E59"/>
  <c r="N59"/>
  <c r="A67"/>
  <c r="D17" i="3" s="1"/>
  <c r="E17" s="1"/>
  <c r="L55" i="1"/>
  <c r="O60"/>
  <c r="G32"/>
  <c r="D33" i="10" s="1"/>
  <c r="E55" i="1"/>
  <c r="E53"/>
  <c r="E56"/>
  <c r="E54"/>
  <c r="E52"/>
  <c r="A90"/>
  <c r="H57"/>
  <c r="H59"/>
  <c r="G56"/>
  <c r="A69" l="1"/>
  <c r="D18" i="3" s="1"/>
  <c r="E18" s="1"/>
  <c r="N60" i="1"/>
  <c r="N64"/>
  <c r="E49" i="10"/>
  <c r="D34"/>
  <c r="G44" i="1"/>
  <c r="G45" s="1"/>
  <c r="A92"/>
  <c r="N61" l="1"/>
  <c r="O62" s="1"/>
  <c r="N63"/>
  <c r="N65" s="1"/>
  <c r="O61"/>
  <c r="A71"/>
  <c r="D19" i="3" s="1"/>
  <c r="E19" s="1"/>
  <c r="A94" i="1"/>
  <c r="A73" l="1"/>
  <c r="D20" i="3" s="1"/>
  <c r="E20" s="1"/>
  <c r="A96" i="1"/>
  <c r="A75" l="1"/>
  <c r="D21" i="3" s="1"/>
  <c r="E21" s="1"/>
  <c r="A98" i="1"/>
  <c r="A77" l="1"/>
  <c r="A79" s="1"/>
  <c r="D22" i="3"/>
  <c r="E22" s="1"/>
  <c r="A100" i="1"/>
  <c r="D23" i="3" l="1"/>
  <c r="E23" s="1"/>
  <c r="A81" i="1"/>
  <c r="A102"/>
  <c r="D24" i="3" l="1"/>
  <c r="E24" s="1"/>
  <c r="E25" s="1"/>
  <c r="G28" l="1"/>
  <c r="D36" i="10"/>
  <c r="D37" s="1"/>
</calcChain>
</file>

<file path=xl/comments1.xml><?xml version="1.0" encoding="utf-8"?>
<comments xmlns="http://schemas.openxmlformats.org/spreadsheetml/2006/main">
  <authors>
    <author>A satisfied Microsoft Office user</author>
  </authors>
  <commentList>
    <comment ref="D5" authorId="0">
      <text>
        <r>
          <rPr>
            <sz val="8"/>
            <color indexed="81"/>
            <rFont val="Tahoma"/>
            <family val="2"/>
          </rPr>
          <t>Charlie Grist:
Select building type from list.  If multiple building types are present consider separate audit sheets for separate buildings.  Or select the type that most closely matches the primary areas of the building where proposed lighting measures occur. 
This value is used to estimate interactive effects of lighting energy savings on HVAC.</t>
        </r>
      </text>
    </comment>
    <comment ref="D6" authorId="0">
      <text>
        <r>
          <rPr>
            <sz val="8"/>
            <color indexed="81"/>
            <rFont val="Tahoma"/>
            <family val="2"/>
          </rPr>
          <t>Charlie Grist:
Select dominant space heat type from list.  If multiple space heat types are present, consider separate audit sheets for separate buildings.  Or select the type that most closely matches the primary areas of the building where proposed lighting measures occur. 
This value is used to estimate interactive effects of lighting energy savings on HVAC.</t>
        </r>
      </text>
    </comment>
  </commentList>
</comments>
</file>

<file path=xl/comments2.xml><?xml version="1.0" encoding="utf-8"?>
<comments xmlns="http://schemas.openxmlformats.org/spreadsheetml/2006/main">
  <authors>
    <author>A satisfied Microsoft Office user</author>
  </authors>
  <commentList>
    <comment ref="G3" authorId="0">
      <text>
        <r>
          <rPr>
            <sz val="8"/>
            <color indexed="81"/>
            <rFont val="Tahoma"/>
            <family val="2"/>
          </rPr>
          <t>Charlie Grist:
Lighting Savings Yield is the fraction of lighting energy savings that is realized after taking into account interactions between energy use in the lighting, heating and cooling systems.  These values include region-wide estimates of the average saturation of cooling systems.
Multiply lighting savings by LSYield to get energy savings net of electric space heat &amp; cooling interactions. 
Does not include gas interactions.
Values are from a series of several hundred DOE 2 runs performed by Mike Kennedy in 2003 on several prototypes in several configurations of shell, lpd, ventilation rates, HVAC system configuration and climate.  Adopted by RTF in 2004.
Values are default estimates for common cases of building and system configuration and operating conditions thought to represent the population. Over 600 results were synthesized into the categories represented in the tables as a simplification for regional conservation analysis and for default values for the RTF calculators and deemed savings calculations. As a result the default values may not represent specific cases. Specific cases which are thought to have significantly different interactions than the defaults should be modeled under RTF protocols.
Original work in file: InteractionsBldgType01082004.xls
Default annual hours of lighting operation are estimated from twelve sources by Grist and adopted by RTF in 2004.  See file R:\CG\Main\Plan 5\Commercial\Assessment\Data\hours.xls</t>
        </r>
      </text>
    </comment>
  </commentList>
</comments>
</file>

<file path=xl/sharedStrings.xml><?xml version="1.0" encoding="utf-8"?>
<sst xmlns="http://schemas.openxmlformats.org/spreadsheetml/2006/main" count="548" uniqueCount="332">
  <si>
    <t xml:space="preserve">Customer Name: </t>
  </si>
  <si>
    <t>Stemilt Growers</t>
  </si>
  <si>
    <t>Contact:</t>
  </si>
  <si>
    <t>Facility</t>
  </si>
  <si>
    <t>Room Description</t>
  </si>
  <si>
    <t>Cond. or Evap. Fan?</t>
  </si>
  <si>
    <t>Total Cost Estimate</t>
  </si>
  <si>
    <t>PUD Resource $mart Incentive (65%)</t>
  </si>
  <si>
    <t>No</t>
  </si>
  <si>
    <t>Evap</t>
  </si>
  <si>
    <t>Cond</t>
  </si>
  <si>
    <t xml:space="preserve">Costs in this table are based on material purchase and installation estimates provided </t>
  </si>
  <si>
    <t>by Mike Riley at Schmitt Electric to Jim White on 5/15/09. They include line filters and labor, but do not include sales tax.</t>
  </si>
  <si>
    <t xml:space="preserve">These prices are not considered CONFIDENTIAL, but please do not share them out of professional courtesy to the supplier.  </t>
  </si>
  <si>
    <t>Price</t>
  </si>
  <si>
    <t>kWh Savings</t>
  </si>
  <si>
    <t>Approx. Capacity Factor</t>
  </si>
  <si>
    <t>Average Motor Efficiency</t>
  </si>
  <si>
    <t>Total Average kW</t>
  </si>
  <si>
    <t>Conserv. Load Factor</t>
  </si>
  <si>
    <t>Total Annual kWh</t>
  </si>
  <si>
    <t>Savings, kWh/Year/HP</t>
  </si>
  <si>
    <t>(From Cascade Energy Engr. Study)</t>
  </si>
  <si>
    <t>kWh/Year</t>
  </si>
  <si>
    <t>Average MW Saved</t>
  </si>
  <si>
    <t>Avg. MW</t>
  </si>
  <si>
    <t xml:space="preserve">Avg. Cost per kWh = </t>
  </si>
  <si>
    <t>per kWh</t>
  </si>
  <si>
    <t>Annual Cost Savings =</t>
  </si>
  <si>
    <t>per Year</t>
  </si>
  <si>
    <t>kWh/Year/HP</t>
  </si>
  <si>
    <t>FACILITY NAME:</t>
  </si>
  <si>
    <t>CHELAN PUD CUSTOMER NAME:</t>
  </si>
  <si>
    <t>ELECTRIC RATE SCH:</t>
  </si>
  <si>
    <t>Sch. 2, Commercial &gt;40 kW</t>
  </si>
  <si>
    <t>SERVICE ADDRESS:</t>
  </si>
  <si>
    <t>CITY, STATE, ZIP CODE:</t>
  </si>
  <si>
    <t>FACILITY CONTACT:</t>
  </si>
  <si>
    <t>CONTACT EMAIL:</t>
  </si>
  <si>
    <t>PHONE NUMBER:</t>
  </si>
  <si>
    <t>METER NUMBER:</t>
  </si>
  <si>
    <t>FEDERAL TAX ID NUMBER:</t>
  </si>
  <si>
    <t>Incentive Check Information (if different than above).</t>
  </si>
  <si>
    <t>NAME ON INCENTIVE CHECK (Print):</t>
  </si>
  <si>
    <t>INCENTIVE CHECK MAILING ADDRESS:</t>
  </si>
  <si>
    <t>INCENTIVE CHECK - CITY, STATE, ZIP CODE:</t>
  </si>
  <si>
    <t>Maximum Incentive Amount:</t>
  </si>
  <si>
    <t>Incentive Amount:</t>
  </si>
  <si>
    <t>Maximo #:</t>
  </si>
  <si>
    <t>Account #:</t>
  </si>
  <si>
    <t>FAX NUMBER:</t>
  </si>
  <si>
    <t>By signing this Application you are acknowledging you have read and agree with the Resource$mart Agreement attached to this form.</t>
  </si>
  <si>
    <t>CUSTOMER SIGNATURE</t>
  </si>
  <si>
    <t>DATE</t>
  </si>
  <si>
    <t>Authorization to proceed will be mailed to you within 10 days from date received by the PUD</t>
  </si>
  <si>
    <t>For Pre-Authorization, mail signed form to:</t>
  </si>
  <si>
    <t>Chelan County Public Utility District</t>
  </si>
  <si>
    <t>Energy Services Dept.,  Attn: Jim White</t>
  </si>
  <si>
    <t>PO Box 1231</t>
  </si>
  <si>
    <t>Wenatchee, WA  98807-1231</t>
  </si>
  <si>
    <t>To be completed by the PUD</t>
  </si>
  <si>
    <t>AUTHORIZED BY:</t>
  </si>
  <si>
    <t>VERIFIED BY:</t>
  </si>
  <si>
    <t>PO #</t>
  </si>
  <si>
    <t>MEASURE #</t>
  </si>
  <si>
    <t>Busbar Savings</t>
  </si>
  <si>
    <t>Index</t>
  </si>
  <si>
    <t>Select Electric Rate Schedule</t>
  </si>
  <si>
    <t>Energy Charge, $/kWh</t>
  </si>
  <si>
    <t>Demand Charge, $/kW</t>
  </si>
  <si>
    <t>Resource$mart</t>
  </si>
  <si>
    <t>Enter information on Input Sheet</t>
  </si>
  <si>
    <t>Sch. 2, Commercial &lt;40 kW</t>
  </si>
  <si>
    <t>Sch. 3, Industrial</t>
  </si>
  <si>
    <t>Sch. 30, Industrial, Time of Use</t>
  </si>
  <si>
    <t>VFD HP</t>
  </si>
  <si>
    <t>(A x B) INCENTIVE REQUESTED</t>
  </si>
  <si>
    <t>(A) INCENTIVE LEVEL</t>
  </si>
  <si>
    <t>(B) UNITS REQUESTED</t>
  </si>
  <si>
    <t>ACTUAL UNITS INSTALLED</t>
  </si>
  <si>
    <t>FINAL INCENTIVE AMOUNT</t>
  </si>
  <si>
    <t>PUD VERIFIED</t>
  </si>
  <si>
    <t>TOTAL</t>
  </si>
  <si>
    <t>(D)</t>
  </si>
  <si>
    <t>x 75% = (E)</t>
  </si>
  <si>
    <t>Final Incentive Payment (Lowest of C or E)</t>
  </si>
  <si>
    <t>MAXIMO #</t>
  </si>
  <si>
    <t>ACCOUNT #</t>
  </si>
  <si>
    <t>METER NO:</t>
  </si>
  <si>
    <t>Actual Labor and Material Cost (Attached receipts and invoices)</t>
  </si>
  <si>
    <t>Facility Name:</t>
  </si>
  <si>
    <t>Verified VFD Installed? (Yes,No)</t>
  </si>
  <si>
    <t>VFD Rated HP</t>
  </si>
  <si>
    <t>Room/Zone Description</t>
  </si>
  <si>
    <t>Measured Motor kW w/o VFD</t>
  </si>
  <si>
    <t>Fan On Date</t>
  </si>
  <si>
    <t>Fan Off Date</t>
  </si>
  <si>
    <t>Existing Fans Cycled? (Yes,No)</t>
  </si>
  <si>
    <t>VFD Motor Measure kWh Begin Date</t>
  </si>
  <si>
    <t>VFD Motor Measure kWh End Date</t>
  </si>
  <si>
    <t>VFD Motor Total Measured kWh</t>
  </si>
  <si>
    <t>VFD Motor Total Annual kWh</t>
  </si>
  <si>
    <t>Existing Fan Total Annual kWh</t>
  </si>
  <si>
    <t>Measured &amp; Verified Total Annual kWh Saved</t>
  </si>
  <si>
    <t>Condenser Fans</t>
  </si>
  <si>
    <t>Evaporator Fans</t>
  </si>
  <si>
    <t>Total Compr. HP Cooled by Tower</t>
  </si>
  <si>
    <t>Calc. Annual kWh Saved</t>
  </si>
  <si>
    <t>Information on this page was created by Dr. Jim White, P.E. on 1/6/10</t>
  </si>
  <si>
    <t xml:space="preserve">Used to calculate compressor energy savings when installing 15 HP </t>
  </si>
  <si>
    <t>variable frequency drive (VFD) on cooling tower fan motor.</t>
  </si>
  <si>
    <t>The following graph was taken from</t>
  </si>
  <si>
    <t>SCREW COMPRESSORS: A COMPARISON OF APPLICATIONS AND</t>
  </si>
  <si>
    <t>FEATURES TO CONVENTIONAL TYPES OF MACHINES</t>
  </si>
  <si>
    <t>J. Trent Bruce</t>
  </si>
  <si>
    <t>Toromont Process Systems</t>
  </si>
  <si>
    <t>Calgary, Alberta, Canada</t>
  </si>
  <si>
    <t>The values below were derived by looking at the graph on the right.</t>
  </si>
  <si>
    <t>% Compressor Capacity</t>
  </si>
  <si>
    <t>% Power @ 8.0 Compression Ratio</t>
  </si>
  <si>
    <t>% Power @ 5.0 Compression Ratio</t>
  </si>
  <si>
    <t>% Power @ 3.0 Compression Ratio</t>
  </si>
  <si>
    <t>Compressor HP as a function of capacity and pressures</t>
  </si>
  <si>
    <t>(For 250 HP compressor from Joe Pillis @Frick 1-800-336-7264)</t>
  </si>
  <si>
    <t>HP vs % Capacity</t>
  </si>
  <si>
    <t>25 to 140 psi</t>
  </si>
  <si>
    <t>25 to 115 psi</t>
  </si>
  <si>
    <t>kW vs % Capacity</t>
  </si>
  <si>
    <t>kW Difference</t>
  </si>
  <si>
    <t>kW Saved (50%)</t>
  </si>
  <si>
    <t>Est. Avg. kW Saved =</t>
  </si>
  <si>
    <t>10 Months, Hr/Year =</t>
  </si>
  <si>
    <t>15 HP Condenser Fan VFD, kWh Saved/Year =</t>
  </si>
  <si>
    <t>Annual kWh Saved per Cond Fan HP =</t>
  </si>
  <si>
    <t xml:space="preserve">Note:  Savings do not include direct fan </t>
  </si>
  <si>
    <t>energy savings on the cooling tower fan motor.</t>
  </si>
  <si>
    <t>Busbar kWh/Year</t>
  </si>
  <si>
    <t>Electric Meter Service Point #:</t>
  </si>
  <si>
    <t>Total Evap. Fan HP</t>
  </si>
  <si>
    <t>Incentive Level</t>
  </si>
  <si>
    <t>Industrial Fruit Warehouse</t>
  </si>
  <si>
    <t>VFD HP Rating</t>
  </si>
  <si>
    <t>Peak Fan Load (kW)</t>
  </si>
  <si>
    <t>Annual kWh Savings</t>
  </si>
  <si>
    <t>Annual Savings per HP (kWh/HP/Yr)</t>
  </si>
  <si>
    <t>Load Date</t>
  </si>
  <si>
    <t>Remove Date</t>
  </si>
  <si>
    <t>Savings Percent</t>
  </si>
  <si>
    <t>Avg. Savings/ 10 kW/Month</t>
  </si>
  <si>
    <t>Comments</t>
  </si>
  <si>
    <t>Savings do not include the fact that fans run all year, even if there is no fruit in the room.</t>
  </si>
  <si>
    <t>Trout/Blue Chelan</t>
  </si>
  <si>
    <t>Blue Bird</t>
  </si>
  <si>
    <t>Blue Star</t>
  </si>
  <si>
    <t>Room only operated for two and half months.</t>
  </si>
  <si>
    <t>McDougall &amp; Sons</t>
  </si>
  <si>
    <t>Base case had cycled fans.  VFD, not recommended.</t>
  </si>
  <si>
    <t>Average</t>
  </si>
  <si>
    <t>Baseline Power Measurements-</t>
  </si>
  <si>
    <t>Pre-VFD Measurements</t>
  </si>
  <si>
    <t>15 minute power recording meter set on 4/30/10 on fan 4B</t>
  </si>
  <si>
    <t>Fan 1A</t>
  </si>
  <si>
    <t>Fan 1B</t>
  </si>
  <si>
    <t>Fan 2A</t>
  </si>
  <si>
    <t>Fan 3A</t>
  </si>
  <si>
    <t>Fan 4A</t>
  </si>
  <si>
    <t>Fan 2B</t>
  </si>
  <si>
    <t>Fan 3B</t>
  </si>
  <si>
    <t>Fan 4B</t>
  </si>
  <si>
    <t>Total</t>
  </si>
  <si>
    <t>Run Hours/year</t>
  </si>
  <si>
    <t>kW</t>
  </si>
  <si>
    <t>kWh/year</t>
  </si>
  <si>
    <t>Est. Savings Percentage</t>
  </si>
  <si>
    <t>Actual Measured kW</t>
  </si>
  <si>
    <t>Maximo Project</t>
  </si>
  <si>
    <t>MEASURE REFERENCE NUMBER:</t>
  </si>
  <si>
    <t>MEASURE DESCRIPTION:</t>
  </si>
  <si>
    <t>&lt;&lt;  Enter Cells Highlighted in Yellow</t>
  </si>
  <si>
    <t>DOMINANT BUILDING TYPE:</t>
  </si>
  <si>
    <t>PRIMARY HEAT &amp; COOL SYSTEM:</t>
  </si>
  <si>
    <t>PUD Purchase Requisition #:</t>
  </si>
  <si>
    <t>PUD Purchase Order #:</t>
  </si>
  <si>
    <t>Demand Savings:</t>
  </si>
  <si>
    <t>Total Annual Lighting Energy Saved:</t>
  </si>
  <si>
    <t>AC Benefit:</t>
  </si>
  <si>
    <t>Electric Heating Penalty:</t>
  </si>
  <si>
    <t>Total Annual kWh Savings:</t>
  </si>
  <si>
    <t>Total Annual Busbar Energy Saved:</t>
  </si>
  <si>
    <t>Incentive Unit Amount:</t>
  </si>
  <si>
    <t>DEFAULT SETTINGS</t>
  </si>
  <si>
    <t>SECTOR:</t>
  </si>
  <si>
    <t>CATEGORY:</t>
  </si>
  <si>
    <t>SUB-CATEGORY:</t>
  </si>
  <si>
    <t>BUILDING TYPE:</t>
  </si>
  <si>
    <t>VINTAGE:</t>
  </si>
  <si>
    <t>Existing</t>
  </si>
  <si>
    <t>LOST OPPORTUNITY:</t>
  </si>
  <si>
    <t>LOCATION:</t>
  </si>
  <si>
    <t>Heating Zone 1 Cooling Zone 3</t>
  </si>
  <si>
    <t>MEASURE LIFE:</t>
  </si>
  <si>
    <t>BASIS OF SAVINGS:</t>
  </si>
  <si>
    <t>ESTIMATED KWH SAVED</t>
  </si>
  <si>
    <t>ACTUAL/VERIFIED KWH/UNIT SAVED:</t>
  </si>
  <si>
    <t>FUNDING SOURCE:</t>
  </si>
  <si>
    <t>UTILITY FUNDING</t>
  </si>
  <si>
    <t>PO DATE TO USE:</t>
  </si>
  <si>
    <t>PAID</t>
  </si>
  <si>
    <t>STATUS (Initial setting, to be updated by CIS):</t>
  </si>
  <si>
    <t>Preliminary</t>
  </si>
  <si>
    <t>MAXIMO WORK ORDER #:</t>
  </si>
  <si>
    <t>GL ACCOUNT #:</t>
  </si>
  <si>
    <t>START DATE:</t>
  </si>
  <si>
    <t>PUD Admin Cost / Unit:</t>
  </si>
  <si>
    <t>Sector</t>
  </si>
  <si>
    <t>Commercial</t>
  </si>
  <si>
    <t>Industrial</t>
  </si>
  <si>
    <t>Refrigeration-Evaporator Fan VFD's</t>
  </si>
  <si>
    <t>Industrial Plant with One Shift</t>
  </si>
  <si>
    <t>Evaporator and Condenser Fans</t>
  </si>
  <si>
    <t>Measured and Verified</t>
  </si>
  <si>
    <r>
      <t xml:space="preserve">For Payment: </t>
    </r>
    <r>
      <rPr>
        <sz val="10"/>
        <color theme="1"/>
        <rFont val="Arial"/>
        <family val="2"/>
      </rPr>
      <t>Sign at the appropriate place above and submit a copy of receipts and invoices showing the total cost to purchase and install the variable frequency drives.</t>
    </r>
  </si>
  <si>
    <t>COMMERCIAL/INDUSTRIAL REFRIGERATION FAN VFD INCENTIVE APPLICATION</t>
  </si>
  <si>
    <t>Ind Incentive $/kWh</t>
  </si>
  <si>
    <t>Est. No. Installed in 2013</t>
  </si>
  <si>
    <t>Est. kWh Saved</t>
  </si>
  <si>
    <t>HP</t>
  </si>
  <si>
    <t>% kWh Savings Discount</t>
  </si>
  <si>
    <t>4.7 Avg. MW</t>
  </si>
  <si>
    <t>kWh/HP/Year</t>
  </si>
  <si>
    <t>Columbia Fruit Packers</t>
  </si>
  <si>
    <t>Average Actual kWh/Year Savings</t>
  </si>
  <si>
    <t>Stemilt - North Miller</t>
  </si>
  <si>
    <t>Stemilt - Olds Station</t>
  </si>
  <si>
    <t>Customer's Cost</t>
  </si>
  <si>
    <t>% Cost w/o Sales tax</t>
  </si>
  <si>
    <t>Actual Savings from 2010-2011 Industrial Evap. Fan VFD's</t>
  </si>
  <si>
    <t>(Does not include indirect refrigeration savings of 12%)</t>
  </si>
  <si>
    <t>based on 1,335 kWh/Year/HP.</t>
  </si>
  <si>
    <t xml:space="preserve">To be conservative, the estimated annual savings are </t>
  </si>
  <si>
    <t>Total Commercial Incentives</t>
  </si>
  <si>
    <t>T</t>
  </si>
  <si>
    <t>Unit Comm. Incent.</t>
  </si>
  <si>
    <t>Unit Industrial Incentives</t>
  </si>
  <si>
    <t>Total Est. Installed Costs</t>
  </si>
  <si>
    <t>Commercial VFD Incentive</t>
  </si>
  <si>
    <t>Industrial VFD Incentive</t>
  </si>
  <si>
    <t>Rated HP of VFD</t>
  </si>
  <si>
    <t>Discounted Levelized $ per therm</t>
  </si>
  <si>
    <t>Look-Up Ids</t>
  </si>
  <si>
    <t>Lighting Savings Yield by Predominant Space Heat Fuel Source</t>
  </si>
  <si>
    <t>Load Shape Look Up</t>
  </si>
  <si>
    <t>5th Plan Name</t>
  </si>
  <si>
    <t>ShapeType</t>
  </si>
  <si>
    <t>Synergy</t>
  </si>
  <si>
    <t>Spaceheat</t>
  </si>
  <si>
    <t>Synergy Building Type Name</t>
  </si>
  <si>
    <t>Electric Resistance</t>
  </si>
  <si>
    <t>Heat Pump</t>
  </si>
  <si>
    <t>Gas</t>
  </si>
  <si>
    <t>Unconditioned</t>
  </si>
  <si>
    <t>Default Hours of Lighitng</t>
  </si>
  <si>
    <t>Gas Heat Interaction (therms saved per kWh lighting saved)</t>
  </si>
  <si>
    <t>Gas Heat NPV per kWh electric lighting saved</t>
  </si>
  <si>
    <t>Default Measure Life</t>
  </si>
  <si>
    <t>Large Off</t>
  </si>
  <si>
    <t>LgOff</t>
  </si>
  <si>
    <t>SECTOR</t>
  </si>
  <si>
    <t>Maximo #</t>
  </si>
  <si>
    <t>GL Account #</t>
  </si>
  <si>
    <t>Medium Off</t>
  </si>
  <si>
    <t xml:space="preserve"> Office 20,000 to 100,000 sf</t>
  </si>
  <si>
    <t>Electric Resistance, No AC</t>
  </si>
  <si>
    <t>Small Off</t>
  </si>
  <si>
    <t>SmOff</t>
  </si>
  <si>
    <t xml:space="preserve"> Office &gt;100,000 sf</t>
  </si>
  <si>
    <t>Electric Resistance, w/ AC</t>
  </si>
  <si>
    <t>Big Box</t>
  </si>
  <si>
    <t>LgRet</t>
  </si>
  <si>
    <t xml:space="preserve"> Office &lt;20,000 sf</t>
  </si>
  <si>
    <t>Small Box</t>
  </si>
  <si>
    <t>SmRet</t>
  </si>
  <si>
    <t xml:space="preserve"> Retail Big Box &gt;50,000 sf One-Story</t>
  </si>
  <si>
    <t>Gas Heat, No Air Cond.</t>
  </si>
  <si>
    <t>High End</t>
  </si>
  <si>
    <t xml:space="preserve"> Retail 5,000 to 50,000 sf</t>
  </si>
  <si>
    <t>Gas w/ Air Cond.</t>
  </si>
  <si>
    <t>Anchor</t>
  </si>
  <si>
    <t xml:space="preserve"> Retail Boutique &lt;5,000 sf</t>
  </si>
  <si>
    <t>Refrigerated or Cooled</t>
  </si>
  <si>
    <t>K-12</t>
  </si>
  <si>
    <t>School</t>
  </si>
  <si>
    <t xml:space="preserve"> Retail Anchor Store &gt;50,000 sf Multistory</t>
  </si>
  <si>
    <t>University</t>
  </si>
  <si>
    <t xml:space="preserve"> School K-12</t>
  </si>
  <si>
    <t>Warehouse</t>
  </si>
  <si>
    <t>Wareh</t>
  </si>
  <si>
    <t xml:space="preserve"> College or University</t>
  </si>
  <si>
    <t>Supermarket</t>
  </si>
  <si>
    <t>Groc</t>
  </si>
  <si>
    <t xml:space="preserve"> Warehouse</t>
  </si>
  <si>
    <t>MIniMart</t>
  </si>
  <si>
    <t xml:space="preserve"> Retail Supermarket</t>
  </si>
  <si>
    <t>Restaurant</t>
  </si>
  <si>
    <t>Rest</t>
  </si>
  <si>
    <t xml:space="preserve"> Retail Mini Mart</t>
  </si>
  <si>
    <t>Lodging</t>
  </si>
  <si>
    <t>Hotel</t>
  </si>
  <si>
    <t xml:space="preserve"> Restaurant</t>
  </si>
  <si>
    <t>Hospital</t>
  </si>
  <si>
    <t>Health</t>
  </si>
  <si>
    <t xml:space="preserve"> Lodging</t>
  </si>
  <si>
    <t>OtherHealth</t>
  </si>
  <si>
    <t xml:space="preserve"> Hospital</t>
  </si>
  <si>
    <t>Other</t>
  </si>
  <si>
    <t>CommLight</t>
  </si>
  <si>
    <t xml:space="preserve"> Other Health, Nursing, Medical Clinic</t>
  </si>
  <si>
    <t>Ind</t>
  </si>
  <si>
    <t xml:space="preserve"> Other Commercial</t>
  </si>
  <si>
    <t>ExCommLight</t>
  </si>
  <si>
    <t>IndShift1</t>
  </si>
  <si>
    <t>Industrial Plant with Three Shifts</t>
  </si>
  <si>
    <t>IndShift3</t>
  </si>
  <si>
    <t>Flat</t>
  </si>
  <si>
    <t>Industrial Plant with Two Shifts</t>
  </si>
  <si>
    <t>IndShift2</t>
  </si>
  <si>
    <t>StreetLight</t>
  </si>
  <si>
    <t>Exterior 24 Hour Operation</t>
  </si>
  <si>
    <t>Street &amp; Area Lighting (Photo Sensor Controlled)</t>
  </si>
  <si>
    <t>TOTAL VFD PURCHASE &amp; INSTALL COSTS:</t>
  </si>
  <si>
    <t>&lt;&lt;  Enter Total Project Costs Here.</t>
  </si>
  <si>
    <r>
      <t>Installation of Conservation Measures.</t>
    </r>
    <r>
      <rPr>
        <b/>
        <i/>
        <sz val="10"/>
        <color theme="1"/>
        <rFont val="Arial"/>
        <family val="2"/>
      </rPr>
      <t xml:space="preserve">   Except during </t>
    </r>
    <r>
      <rPr>
        <i/>
        <sz val="10"/>
        <color theme="1"/>
        <rFont val="Arial"/>
        <family val="2"/>
      </rPr>
      <t>Recipient agrees that in order to receive payment from the PUD Recipient must install VFD's with appropriate line filters, and the PUD must receive the invoice for the items described in this agreement within 180 days of the approval of this application. If Recipient is unable to complete the installation and deliver an invoice by this date, this application and approval becomes null and void. Customer must reapply for incentive fund amounts. Incentive funds, if available, may by substantially lower.</t>
    </r>
  </si>
</sst>
</file>

<file path=xl/styles.xml><?xml version="1.0" encoding="utf-8"?>
<styleSheet xmlns="http://schemas.openxmlformats.org/spreadsheetml/2006/main">
  <numFmts count="15">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quot;$&quot;#,##0.000_);[Red]\(&quot;$&quot;#,##0.000\)"/>
    <numFmt numFmtId="168" formatCode="&quot;$&quot;#,##0.00"/>
    <numFmt numFmtId="169" formatCode="m/d/\ h:mm"/>
    <numFmt numFmtId="170" formatCode="_(* #,##0.0_);_(* \(#,##0.0\);_(* &quot;-&quot;??_);_(@_)"/>
    <numFmt numFmtId="171" formatCode="_(* #,##0.000_);_(* \(#,##0.000\);_(* &quot;-&quot;??_);_(@_)"/>
    <numFmt numFmtId="172" formatCode="0.0000"/>
    <numFmt numFmtId="173" formatCode="0.00000"/>
  </numFmts>
  <fonts count="26">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sz val="10"/>
      <name val="Arial"/>
      <family val="2"/>
    </font>
    <font>
      <sz val="10"/>
      <color theme="1"/>
      <name val="Arial"/>
      <family val="2"/>
    </font>
    <font>
      <b/>
      <sz val="12"/>
      <color theme="1"/>
      <name val="Arial"/>
      <family val="2"/>
    </font>
    <font>
      <sz val="12"/>
      <name val="Times New Roman"/>
      <family val="1"/>
    </font>
    <font>
      <u/>
      <sz val="12"/>
      <color indexed="12"/>
      <name val="Times New Roman"/>
      <family val="1"/>
    </font>
    <font>
      <b/>
      <sz val="12"/>
      <name val="Times New Roman"/>
      <family val="1"/>
    </font>
    <font>
      <b/>
      <sz val="10"/>
      <color theme="1"/>
      <name val="Arial"/>
      <family val="2"/>
    </font>
    <font>
      <b/>
      <i/>
      <sz val="10"/>
      <color theme="1"/>
      <name val="Arial"/>
      <family val="2"/>
    </font>
    <font>
      <i/>
      <sz val="10"/>
      <color theme="1"/>
      <name val="Arial"/>
      <family val="2"/>
    </font>
    <font>
      <b/>
      <i/>
      <u/>
      <sz val="10"/>
      <color theme="1"/>
      <name val="Arial"/>
      <family val="2"/>
    </font>
    <font>
      <sz val="11"/>
      <color rgb="FF000000"/>
      <name val="Arial"/>
      <family val="2"/>
    </font>
    <font>
      <sz val="11"/>
      <color theme="1"/>
      <name val="Arial"/>
      <family val="2"/>
    </font>
    <font>
      <b/>
      <u/>
      <sz val="11"/>
      <color theme="1"/>
      <name val="Calibri"/>
      <family val="2"/>
      <scheme val="minor"/>
    </font>
    <font>
      <b/>
      <sz val="10"/>
      <name val="Arial"/>
      <family val="2"/>
    </font>
    <font>
      <b/>
      <sz val="10"/>
      <name val="MS Sans Serif"/>
      <family val="2"/>
    </font>
    <font>
      <sz val="10"/>
      <name val="MS Sans Serif"/>
      <family val="2"/>
    </font>
    <font>
      <sz val="12"/>
      <name val="Times New Roman"/>
    </font>
    <font>
      <sz val="10"/>
      <color indexed="8"/>
      <name val="Arial"/>
      <family val="2"/>
    </font>
    <font>
      <b/>
      <sz val="12"/>
      <color indexed="8"/>
      <name val="Arial"/>
      <family val="2"/>
    </font>
    <font>
      <sz val="8"/>
      <color indexed="81"/>
      <name val="Tahoma"/>
      <family val="2"/>
    </font>
    <font>
      <b/>
      <sz val="14"/>
      <color theme="1"/>
      <name val="Calibri"/>
      <family val="2"/>
      <scheme val="minor"/>
    </font>
    <font>
      <sz val="12"/>
      <name val="Arial"/>
      <family val="2"/>
    </font>
  </fonts>
  <fills count="11">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indexed="13"/>
        <bgColor indexed="64"/>
      </patternFill>
    </fill>
    <fill>
      <patternFill patternType="gray125">
        <fgColor indexed="41"/>
      </patternFill>
    </fill>
    <fill>
      <patternFill patternType="solid">
        <fgColor indexed="43"/>
        <bgColor indexed="64"/>
      </patternFill>
    </fill>
    <fill>
      <patternFill patternType="solid">
        <fgColor indexed="49"/>
        <bgColor indexed="64"/>
      </patternFill>
    </fill>
    <fill>
      <patternFill patternType="solid">
        <fgColor indexed="22"/>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7" fillId="0" borderId="0"/>
    <xf numFmtId="0" fontId="8" fillId="0" borderId="0" applyNumberFormat="0" applyFill="0" applyBorder="0" applyAlignment="0" applyProtection="0">
      <alignment vertical="top"/>
      <protection locked="0"/>
    </xf>
    <xf numFmtId="7" fontId="7" fillId="0" borderId="0" applyFont="0" applyFill="0" applyBorder="0" applyProtection="0">
      <alignment horizontal="center"/>
    </xf>
    <xf numFmtId="43" fontId="7" fillId="0" borderId="0" applyFont="0" applyFill="0" applyBorder="0" applyAlignment="0" applyProtection="0"/>
    <xf numFmtId="9" fontId="7" fillId="0" borderId="0" applyFont="0" applyFill="0" applyBorder="0" applyAlignment="0" applyProtection="0"/>
    <xf numFmtId="169" fontId="7" fillId="0" borderId="0"/>
    <xf numFmtId="2" fontId="7" fillId="0" borderId="0">
      <alignment horizontal="center"/>
    </xf>
    <xf numFmtId="0" fontId="9" fillId="0" borderId="0">
      <alignment horizontal="center" wrapText="1"/>
    </xf>
    <xf numFmtId="1" fontId="7" fillId="0" borderId="0">
      <alignment horizontal="center"/>
    </xf>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0" fontId="20" fillId="0" borderId="0"/>
  </cellStyleXfs>
  <cellXfs count="348">
    <xf numFmtId="0" fontId="0" fillId="0" borderId="0" xfId="0"/>
    <xf numFmtId="0" fontId="0" fillId="0" borderId="0" xfId="0" applyAlignment="1">
      <alignment horizontal="right"/>
    </xf>
    <xf numFmtId="0" fontId="0" fillId="0" borderId="1" xfId="0" applyBorder="1"/>
    <xf numFmtId="0" fontId="0" fillId="0" borderId="0" xfId="0" applyBorder="1"/>
    <xf numFmtId="164" fontId="0" fillId="0" borderId="0" xfId="2" applyNumberFormat="1" applyFont="1" applyBorder="1"/>
    <xf numFmtId="164" fontId="0" fillId="0" borderId="0" xfId="2" applyNumberFormat="1" applyFont="1"/>
    <xf numFmtId="0" fontId="2" fillId="0" borderId="0" xfId="0" applyFont="1" applyAlignment="1">
      <alignment horizontal="center" wrapText="1"/>
    </xf>
    <xf numFmtId="0" fontId="2" fillId="0" borderId="3" xfId="0" applyFont="1" applyBorder="1" applyAlignment="1">
      <alignment horizontal="center" wrapText="1"/>
    </xf>
    <xf numFmtId="0" fontId="0" fillId="0" borderId="3" xfId="0" applyBorder="1" applyAlignment="1">
      <alignment horizontal="right"/>
    </xf>
    <xf numFmtId="0" fontId="0" fillId="0" borderId="3" xfId="0" applyBorder="1" applyAlignment="1">
      <alignment horizontal="center"/>
    </xf>
    <xf numFmtId="0" fontId="0" fillId="0" borderId="6" xfId="0" applyBorder="1" applyAlignment="1">
      <alignment horizontal="center"/>
    </xf>
    <xf numFmtId="164" fontId="0" fillId="0" borderId="3" xfId="0" applyNumberFormat="1" applyBorder="1"/>
    <xf numFmtId="166" fontId="0" fillId="0" borderId="0" xfId="1" applyNumberFormat="1" applyFont="1"/>
    <xf numFmtId="0" fontId="0" fillId="0" borderId="7" xfId="0" applyBorder="1"/>
    <xf numFmtId="0" fontId="0" fillId="0" borderId="8" xfId="0" applyBorder="1" applyAlignment="1">
      <alignment horizontal="right"/>
    </xf>
    <xf numFmtId="0" fontId="0" fillId="0" borderId="8" xfId="0" applyBorder="1" applyAlignment="1">
      <alignment horizontal="center"/>
    </xf>
    <xf numFmtId="165" fontId="0" fillId="0" borderId="8" xfId="2" applyNumberFormat="1" applyFont="1" applyBorder="1"/>
    <xf numFmtId="164" fontId="0" fillId="0" borderId="8" xfId="0" applyNumberFormat="1" applyBorder="1"/>
    <xf numFmtId="164" fontId="0" fillId="0" borderId="0" xfId="0" applyNumberFormat="1"/>
    <xf numFmtId="166" fontId="0" fillId="0" borderId="0" xfId="0" applyNumberFormat="1"/>
    <xf numFmtId="164" fontId="0" fillId="0" borderId="0" xfId="0" applyNumberFormat="1" applyAlignment="1">
      <alignment horizontal="left"/>
    </xf>
    <xf numFmtId="9" fontId="0" fillId="0" borderId="0" xfId="0" applyNumberFormat="1"/>
    <xf numFmtId="43" fontId="0" fillId="0" borderId="0" xfId="0" applyNumberFormat="1"/>
    <xf numFmtId="167" fontId="0" fillId="0" borderId="0" xfId="0" applyNumberFormat="1"/>
    <xf numFmtId="6" fontId="0" fillId="0" borderId="0" xfId="0" applyNumberFormat="1" applyAlignment="1">
      <alignment horizontal="left"/>
    </xf>
    <xf numFmtId="0" fontId="2" fillId="0" borderId="0" xfId="0" applyFont="1" applyBorder="1" applyAlignment="1">
      <alignment horizontal="center" wrapText="1"/>
    </xf>
    <xf numFmtId="0" fontId="0" fillId="0" borderId="0" xfId="0" applyAlignment="1">
      <alignment horizontal="center" wrapText="1"/>
    </xf>
    <xf numFmtId="164" fontId="0" fillId="0" borderId="0" xfId="2" applyNumberFormat="1" applyFont="1" applyAlignment="1">
      <alignment horizontal="center" wrapText="1"/>
    </xf>
    <xf numFmtId="164" fontId="0" fillId="0" borderId="0" xfId="2" applyNumberFormat="1" applyFont="1" applyFill="1" applyBorder="1" applyAlignment="1">
      <alignment horizontal="center" wrapText="1"/>
    </xf>
    <xf numFmtId="0" fontId="0" fillId="0" borderId="0" xfId="0" applyAlignment="1">
      <alignment wrapText="1"/>
    </xf>
    <xf numFmtId="0" fontId="0" fillId="0" borderId="3" xfId="0" applyBorder="1"/>
    <xf numFmtId="0" fontId="0" fillId="0" borderId="8" xfId="0" applyBorder="1"/>
    <xf numFmtId="166" fontId="0" fillId="0" borderId="0" xfId="0" applyNumberFormat="1" applyAlignment="1">
      <alignment horizontal="center" wrapText="1"/>
    </xf>
    <xf numFmtId="0" fontId="4" fillId="0" borderId="0" xfId="15" applyFont="1"/>
    <xf numFmtId="0" fontId="4" fillId="0" borderId="0" xfId="15"/>
    <xf numFmtId="168" fontId="4" fillId="0" borderId="0" xfId="15" applyNumberFormat="1"/>
    <xf numFmtId="0" fontId="5" fillId="3" borderId="38" xfId="5" applyFont="1" applyFill="1" applyBorder="1" applyAlignment="1" applyProtection="1">
      <alignment horizontal="left" vertical="top" wrapText="1"/>
    </xf>
    <xf numFmtId="0" fontId="5" fillId="3" borderId="39" xfId="5" applyFont="1" applyFill="1" applyBorder="1" applyAlignment="1" applyProtection="1">
      <alignment horizontal="left" vertical="top" wrapText="1"/>
    </xf>
    <xf numFmtId="0" fontId="5" fillId="3" borderId="40" xfId="5" applyFont="1" applyFill="1" applyBorder="1" applyAlignment="1" applyProtection="1">
      <alignment horizontal="left" vertical="top" wrapText="1"/>
    </xf>
    <xf numFmtId="0" fontId="2" fillId="0" borderId="0" xfId="0" applyFont="1" applyAlignment="1">
      <alignment horizontal="right"/>
    </xf>
    <xf numFmtId="166" fontId="0" fillId="0" borderId="3" xfId="1" applyNumberFormat="1" applyFont="1" applyBorder="1"/>
    <xf numFmtId="0" fontId="0" fillId="0" borderId="24" xfId="0" applyBorder="1"/>
    <xf numFmtId="165" fontId="0" fillId="0" borderId="6" xfId="2" applyNumberFormat="1" applyFont="1" applyBorder="1"/>
    <xf numFmtId="164" fontId="0" fillId="0" borderId="6" xfId="0" applyNumberFormat="1" applyBorder="1"/>
    <xf numFmtId="166" fontId="0" fillId="0" borderId="6" xfId="1" applyNumberFormat="1" applyFont="1" applyBorder="1"/>
    <xf numFmtId="0" fontId="0" fillId="0" borderId="6" xfId="0" applyBorder="1"/>
    <xf numFmtId="0" fontId="2" fillId="0" borderId="3" xfId="0" applyFont="1" applyFill="1" applyBorder="1" applyAlignment="1">
      <alignment horizontal="center" wrapText="1"/>
    </xf>
    <xf numFmtId="164" fontId="0" fillId="0" borderId="6" xfId="0" applyNumberFormat="1" applyFill="1" applyBorder="1"/>
    <xf numFmtId="164" fontId="0" fillId="0" borderId="3" xfId="0" applyNumberFormat="1" applyFill="1" applyBorder="1"/>
    <xf numFmtId="166" fontId="0" fillId="0" borderId="10" xfId="1" applyNumberFormat="1" applyFont="1" applyFill="1" applyBorder="1"/>
    <xf numFmtId="166" fontId="0" fillId="0" borderId="0" xfId="1" applyNumberFormat="1" applyFont="1" applyFill="1" applyBorder="1"/>
    <xf numFmtId="164" fontId="0" fillId="0" borderId="8" xfId="0" applyNumberFormat="1" applyFill="1" applyBorder="1"/>
    <xf numFmtId="166" fontId="0" fillId="0" borderId="8" xfId="1" applyNumberFormat="1" applyFont="1" applyBorder="1"/>
    <xf numFmtId="0" fontId="16" fillId="0" borderId="0" xfId="0" applyFont="1"/>
    <xf numFmtId="0" fontId="16" fillId="0" borderId="0" xfId="0" applyFont="1" applyAlignment="1">
      <alignment horizontal="left"/>
    </xf>
    <xf numFmtId="164" fontId="0" fillId="0" borderId="6" xfId="0" applyNumberFormat="1" applyBorder="1" applyAlignment="1">
      <alignment horizontal="right"/>
    </xf>
    <xf numFmtId="166" fontId="0" fillId="0" borderId="6" xfId="1" applyNumberFormat="1" applyFont="1" applyFill="1" applyBorder="1"/>
    <xf numFmtId="0" fontId="4" fillId="0" borderId="0" xfId="16"/>
    <xf numFmtId="0" fontId="4" fillId="0" borderId="0" xfId="16" applyAlignment="1">
      <alignment horizontal="center" wrapText="1"/>
    </xf>
    <xf numFmtId="9" fontId="4" fillId="0" borderId="0" xfId="16" applyNumberFormat="1"/>
    <xf numFmtId="9" fontId="0" fillId="0" borderId="0" xfId="17" applyFont="1"/>
    <xf numFmtId="0" fontId="4" fillId="0" borderId="0" xfId="16" applyAlignment="1">
      <alignment wrapText="1"/>
    </xf>
    <xf numFmtId="166" fontId="0" fillId="0" borderId="0" xfId="18" applyNumberFormat="1" applyFont="1"/>
    <xf numFmtId="166" fontId="4" fillId="0" borderId="0" xfId="16" applyNumberFormat="1"/>
    <xf numFmtId="170" fontId="4" fillId="0" borderId="0" xfId="16" applyNumberFormat="1"/>
    <xf numFmtId="0" fontId="4" fillId="0" borderId="0" xfId="16" applyAlignment="1">
      <alignment horizontal="right"/>
    </xf>
    <xf numFmtId="0" fontId="17" fillId="0" borderId="0" xfId="16" applyFont="1"/>
    <xf numFmtId="0" fontId="17" fillId="0" borderId="0" xfId="16" applyFont="1" applyAlignment="1">
      <alignment horizontal="right"/>
    </xf>
    <xf numFmtId="166" fontId="17" fillId="0" borderId="0" xfId="16" applyNumberFormat="1" applyFont="1"/>
    <xf numFmtId="0" fontId="17" fillId="2" borderId="0" xfId="16" applyFont="1" applyFill="1"/>
    <xf numFmtId="0" fontId="17" fillId="2" borderId="0" xfId="16" applyFont="1" applyFill="1" applyAlignment="1">
      <alignment horizontal="right"/>
    </xf>
    <xf numFmtId="166" fontId="17" fillId="2" borderId="0" xfId="18" applyNumberFormat="1" applyFont="1" applyFill="1"/>
    <xf numFmtId="0" fontId="4" fillId="0" borderId="0" xfId="16" applyAlignment="1">
      <alignment horizontal="left"/>
    </xf>
    <xf numFmtId="166" fontId="0" fillId="0" borderId="3" xfId="1" applyNumberFormat="1" applyFont="1" applyFill="1" applyBorder="1"/>
    <xf numFmtId="0" fontId="2" fillId="0" borderId="4" xfId="0" applyFont="1" applyBorder="1" applyAlignment="1">
      <alignment horizontal="center" wrapText="1"/>
    </xf>
    <xf numFmtId="164" fontId="2" fillId="0" borderId="0" xfId="2" applyNumberFormat="1" applyFont="1" applyBorder="1" applyAlignment="1">
      <alignment horizontal="center" wrapText="1"/>
    </xf>
    <xf numFmtId="9" fontId="0" fillId="0" borderId="0" xfId="0" applyNumberFormat="1" applyBorder="1" applyAlignment="1">
      <alignment horizontal="left"/>
    </xf>
    <xf numFmtId="164" fontId="0" fillId="0" borderId="0" xfId="0" applyNumberFormat="1" applyBorder="1" applyAlignment="1">
      <alignment horizontal="center" wrapText="1"/>
    </xf>
    <xf numFmtId="0" fontId="0" fillId="0" borderId="0" xfId="0" applyBorder="1" applyAlignment="1">
      <alignment horizontal="center" wrapText="1"/>
    </xf>
    <xf numFmtId="164" fontId="0" fillId="0" borderId="0" xfId="2" applyNumberFormat="1" applyFont="1" applyBorder="1" applyAlignment="1">
      <alignment horizontal="center" wrapText="1"/>
    </xf>
    <xf numFmtId="0" fontId="0" fillId="0" borderId="0" xfId="0" applyBorder="1" applyAlignment="1">
      <alignment wrapText="1"/>
    </xf>
    <xf numFmtId="164" fontId="0" fillId="0" borderId="0" xfId="0" applyNumberFormat="1" applyBorder="1"/>
    <xf numFmtId="0" fontId="0" fillId="0" borderId="0" xfId="2" applyNumberFormat="1" applyFont="1" applyBorder="1" applyAlignment="1">
      <alignment horizontal="center"/>
    </xf>
    <xf numFmtId="166" fontId="0" fillId="0" borderId="0" xfId="1" applyNumberFormat="1" applyFont="1" applyBorder="1"/>
    <xf numFmtId="168" fontId="0" fillId="0" borderId="0" xfId="0" applyNumberFormat="1" applyBorder="1"/>
    <xf numFmtId="166" fontId="0" fillId="0" borderId="0" xfId="0" applyNumberFormat="1" applyBorder="1"/>
    <xf numFmtId="164" fontId="0" fillId="0" borderId="0" xfId="2" applyNumberFormat="1" applyFont="1" applyBorder="1" applyAlignment="1">
      <alignment horizontal="right" wrapText="1"/>
    </xf>
    <xf numFmtId="0" fontId="17" fillId="0" borderId="0" xfId="19" applyFont="1" applyAlignment="1">
      <alignment horizontal="center" wrapText="1"/>
    </xf>
    <xf numFmtId="9" fontId="18" fillId="0" borderId="0" xfId="20" applyFont="1" applyAlignment="1">
      <alignment horizontal="center" wrapText="1"/>
    </xf>
    <xf numFmtId="166" fontId="17" fillId="0" borderId="0" xfId="21" applyNumberFormat="1" applyFont="1" applyAlignment="1">
      <alignment horizontal="center" wrapText="1"/>
    </xf>
    <xf numFmtId="9" fontId="17" fillId="0" borderId="0" xfId="19" applyNumberFormat="1" applyFont="1" applyAlignment="1">
      <alignment horizontal="center" wrapText="1"/>
    </xf>
    <xf numFmtId="0" fontId="4" fillId="0" borderId="0" xfId="19"/>
    <xf numFmtId="166" fontId="19" fillId="0" borderId="0" xfId="21" applyNumberFormat="1" applyFont="1"/>
    <xf numFmtId="166" fontId="0" fillId="0" borderId="0" xfId="21" applyNumberFormat="1" applyFont="1"/>
    <xf numFmtId="14" fontId="4" fillId="0" borderId="0" xfId="19" applyNumberFormat="1"/>
    <xf numFmtId="9" fontId="4" fillId="0" borderId="0" xfId="19" applyNumberFormat="1"/>
    <xf numFmtId="0" fontId="4" fillId="0" borderId="0" xfId="19" applyAlignment="1">
      <alignment wrapText="1"/>
    </xf>
    <xf numFmtId="0" fontId="4" fillId="0" borderId="1" xfId="19" applyBorder="1"/>
    <xf numFmtId="166" fontId="19" fillId="0" borderId="1" xfId="21" applyNumberFormat="1" applyFont="1" applyBorder="1"/>
    <xf numFmtId="166" fontId="0" fillId="0" borderId="1" xfId="21" applyNumberFormat="1" applyFont="1" applyBorder="1"/>
    <xf numFmtId="14" fontId="4" fillId="0" borderId="1" xfId="19" applyNumberFormat="1" applyBorder="1"/>
    <xf numFmtId="9" fontId="4" fillId="0" borderId="1" xfId="19" applyNumberFormat="1" applyBorder="1"/>
    <xf numFmtId="0" fontId="4" fillId="0" borderId="1" xfId="19" applyBorder="1" applyAlignment="1">
      <alignment wrapText="1"/>
    </xf>
    <xf numFmtId="0" fontId="17" fillId="0" borderId="0" xfId="19" applyFont="1" applyAlignment="1">
      <alignment horizontal="right"/>
    </xf>
    <xf numFmtId="170" fontId="17" fillId="0" borderId="0" xfId="21" applyNumberFormat="1" applyFont="1"/>
    <xf numFmtId="166" fontId="17" fillId="0" borderId="0" xfId="21" applyNumberFormat="1" applyFont="1"/>
    <xf numFmtId="166" fontId="17" fillId="0" borderId="43" xfId="21" applyNumberFormat="1" applyFont="1" applyBorder="1"/>
    <xf numFmtId="0" fontId="17" fillId="0" borderId="44" xfId="19" applyFont="1" applyBorder="1"/>
    <xf numFmtId="0" fontId="17" fillId="0" borderId="45" xfId="19" applyFont="1" applyBorder="1"/>
    <xf numFmtId="9" fontId="17" fillId="0" borderId="0" xfId="19" applyNumberFormat="1" applyFont="1"/>
    <xf numFmtId="0" fontId="17" fillId="0" borderId="0" xfId="19" applyFont="1"/>
    <xf numFmtId="0" fontId="17" fillId="0" borderId="0" xfId="19" applyFont="1" applyAlignment="1">
      <alignment wrapText="1"/>
    </xf>
    <xf numFmtId="0" fontId="4" fillId="0" borderId="0" xfId="19" applyFont="1"/>
    <xf numFmtId="166" fontId="0" fillId="0" borderId="24" xfId="1" applyNumberFormat="1" applyFont="1" applyBorder="1"/>
    <xf numFmtId="0" fontId="22" fillId="6" borderId="3" xfId="5" applyFont="1" applyFill="1" applyBorder="1" applyAlignment="1" applyProtection="1">
      <alignment vertical="top"/>
      <protection locked="0"/>
    </xf>
    <xf numFmtId="0" fontId="21" fillId="6" borderId="3" xfId="5" applyFont="1" applyFill="1" applyBorder="1" applyAlignment="1" applyProtection="1">
      <alignment vertical="top"/>
      <protection locked="0"/>
    </xf>
    <xf numFmtId="0" fontId="4" fillId="7" borderId="0" xfId="23" applyFont="1" applyFill="1" applyBorder="1" applyAlignment="1" applyProtection="1">
      <alignment horizontal="right"/>
    </xf>
    <xf numFmtId="0" fontId="8" fillId="6" borderId="3" xfId="7" applyFill="1" applyBorder="1" applyAlignment="1" applyProtection="1">
      <alignment vertical="top"/>
      <protection locked="0"/>
    </xf>
    <xf numFmtId="0" fontId="21" fillId="6" borderId="3" xfId="5" applyFont="1" applyFill="1" applyBorder="1" applyAlignment="1" applyProtection="1">
      <alignment horizontal="left" vertical="top"/>
      <protection locked="0"/>
    </xf>
    <xf numFmtId="0" fontId="21" fillId="5" borderId="3" xfId="5" applyFont="1" applyFill="1" applyBorder="1" applyAlignment="1" applyProtection="1">
      <alignment vertical="top"/>
      <protection locked="0"/>
    </xf>
    <xf numFmtId="7" fontId="21" fillId="6" borderId="3" xfId="8" applyFont="1" applyFill="1" applyBorder="1" applyAlignment="1" applyProtection="1">
      <alignment horizontal="left"/>
      <protection locked="0"/>
    </xf>
    <xf numFmtId="9" fontId="0" fillId="0" borderId="0" xfId="22" applyFont="1"/>
    <xf numFmtId="0" fontId="0" fillId="0" borderId="0" xfId="0" applyAlignment="1">
      <alignment horizontal="center"/>
    </xf>
    <xf numFmtId="0" fontId="0" fillId="0" borderId="1" xfId="0" applyBorder="1" applyAlignment="1">
      <alignment horizontal="center"/>
    </xf>
    <xf numFmtId="166" fontId="0" fillId="0" borderId="0" xfId="1" applyNumberFormat="1" applyFont="1" applyFill="1" applyBorder="1" applyAlignment="1">
      <alignment horizontal="center" wrapText="1"/>
    </xf>
    <xf numFmtId="164" fontId="0" fillId="0" borderId="24" xfId="0" applyNumberFormat="1" applyBorder="1"/>
    <xf numFmtId="171" fontId="2" fillId="0" borderId="0" xfId="1" applyNumberFormat="1" applyFont="1" applyBorder="1" applyAlignment="1">
      <alignment horizontal="center" wrapText="1"/>
    </xf>
    <xf numFmtId="43" fontId="0" fillId="0" borderId="0" xfId="1" applyFont="1"/>
    <xf numFmtId="166" fontId="0" fillId="0" borderId="0" xfId="1" applyNumberFormat="1" applyFont="1" applyBorder="1" applyAlignment="1">
      <alignment horizontal="center"/>
    </xf>
    <xf numFmtId="166" fontId="0" fillId="0" borderId="36" xfId="1" applyNumberFormat="1" applyFont="1" applyBorder="1"/>
    <xf numFmtId="166" fontId="0" fillId="0" borderId="37" xfId="1" applyNumberFormat="1" applyFont="1" applyBorder="1"/>
    <xf numFmtId="166" fontId="0" fillId="0" borderId="20" xfId="1" applyNumberFormat="1" applyFont="1" applyBorder="1"/>
    <xf numFmtId="166" fontId="0" fillId="0" borderId="1" xfId="1" applyNumberFormat="1" applyFont="1" applyBorder="1"/>
    <xf numFmtId="166" fontId="0" fillId="0" borderId="1" xfId="1" applyNumberFormat="1" applyFont="1" applyBorder="1" applyAlignment="1">
      <alignment horizontal="center"/>
    </xf>
    <xf numFmtId="166" fontId="0" fillId="0" borderId="21" xfId="1" applyNumberFormat="1" applyFont="1" applyBorder="1"/>
    <xf numFmtId="0" fontId="4" fillId="0" borderId="0" xfId="19" applyAlignment="1">
      <alignment horizontal="center" wrapText="1"/>
    </xf>
    <xf numFmtId="0" fontId="2" fillId="0" borderId="24" xfId="0" applyFont="1" applyBorder="1"/>
    <xf numFmtId="0" fontId="16" fillId="0" borderId="24" xfId="0" applyFont="1" applyBorder="1"/>
    <xf numFmtId="0" fontId="2" fillId="0" borderId="24" xfId="0" applyFont="1" applyBorder="1" applyAlignment="1">
      <alignment wrapText="1"/>
    </xf>
    <xf numFmtId="164" fontId="2" fillId="0" borderId="25" xfId="2" applyNumberFormat="1" applyFont="1" applyBorder="1" applyAlignment="1">
      <alignment horizontal="center" wrapText="1"/>
    </xf>
    <xf numFmtId="1" fontId="0" fillId="0" borderId="37" xfId="0" applyNumberFormat="1" applyBorder="1" applyAlignment="1">
      <alignment horizontal="center" wrapText="1"/>
    </xf>
    <xf numFmtId="1" fontId="0" fillId="0" borderId="37" xfId="1" applyNumberFormat="1" applyFont="1" applyFill="1" applyBorder="1" applyAlignment="1">
      <alignment horizontal="center" wrapText="1"/>
    </xf>
    <xf numFmtId="1" fontId="0" fillId="0" borderId="37" xfId="1" applyNumberFormat="1" applyFont="1" applyBorder="1" applyAlignment="1">
      <alignment horizontal="center"/>
    </xf>
    <xf numFmtId="1" fontId="0" fillId="0" borderId="0" xfId="0" applyNumberFormat="1" applyBorder="1" applyAlignment="1">
      <alignment horizontal="center" wrapText="1"/>
    </xf>
    <xf numFmtId="1" fontId="0" fillId="0" borderId="0" xfId="1" applyNumberFormat="1" applyFont="1" applyBorder="1" applyAlignment="1">
      <alignment horizontal="center"/>
    </xf>
    <xf numFmtId="164" fontId="0" fillId="0" borderId="36" xfId="2" applyNumberFormat="1" applyFont="1" applyBorder="1" applyAlignment="1">
      <alignment horizontal="center" wrapText="1"/>
    </xf>
    <xf numFmtId="1" fontId="0" fillId="0" borderId="1" xfId="1" applyNumberFormat="1" applyFont="1" applyBorder="1" applyAlignment="1">
      <alignment horizontal="center"/>
    </xf>
    <xf numFmtId="0" fontId="17" fillId="0" borderId="4" xfId="19" applyFont="1" applyBorder="1"/>
    <xf numFmtId="0" fontId="17" fillId="0" borderId="2" xfId="19" applyFont="1" applyBorder="1"/>
    <xf numFmtId="166" fontId="2" fillId="0" borderId="2" xfId="21" applyNumberFormat="1" applyFont="1" applyBorder="1"/>
    <xf numFmtId="0" fontId="16" fillId="0" borderId="37" xfId="0" applyFont="1" applyBorder="1"/>
    <xf numFmtId="0" fontId="2" fillId="0" borderId="0" xfId="0" applyFont="1" applyBorder="1"/>
    <xf numFmtId="164" fontId="2" fillId="0" borderId="0" xfId="2" applyNumberFormat="1" applyFont="1" applyBorder="1" applyAlignment="1">
      <alignment horizontal="right"/>
    </xf>
    <xf numFmtId="9" fontId="2" fillId="0" borderId="0" xfId="0" applyNumberFormat="1" applyFont="1" applyBorder="1" applyAlignment="1">
      <alignment horizontal="left"/>
    </xf>
    <xf numFmtId="0" fontId="16" fillId="0" borderId="0" xfId="0" applyFont="1" applyBorder="1"/>
    <xf numFmtId="0" fontId="4" fillId="0" borderId="5" xfId="19" applyBorder="1"/>
    <xf numFmtId="166" fontId="2" fillId="0" borderId="26" xfId="1" applyNumberFormat="1" applyFont="1" applyBorder="1"/>
    <xf numFmtId="166" fontId="2" fillId="0" borderId="24" xfId="1" applyNumberFormat="1" applyFont="1" applyBorder="1" applyAlignment="1">
      <alignment horizontal="center"/>
    </xf>
    <xf numFmtId="166" fontId="2" fillId="0" borderId="24" xfId="1" applyNumberFormat="1" applyFont="1" applyBorder="1"/>
    <xf numFmtId="1" fontId="2" fillId="0" borderId="24" xfId="1" applyNumberFormat="1" applyFont="1" applyBorder="1" applyAlignment="1">
      <alignment horizontal="center"/>
    </xf>
    <xf numFmtId="166" fontId="2" fillId="0" borderId="25" xfId="1" applyNumberFormat="1" applyFont="1" applyBorder="1"/>
    <xf numFmtId="166" fontId="2" fillId="0" borderId="20" xfId="1" applyNumberFormat="1" applyFont="1" applyBorder="1"/>
    <xf numFmtId="166" fontId="2" fillId="0" borderId="1" xfId="1" applyNumberFormat="1" applyFont="1" applyBorder="1"/>
    <xf numFmtId="166" fontId="2" fillId="0" borderId="21" xfId="1" applyNumberFormat="1" applyFont="1" applyBorder="1"/>
    <xf numFmtId="164" fontId="0" fillId="0" borderId="36" xfId="0" applyNumberFormat="1" applyBorder="1"/>
    <xf numFmtId="164" fontId="0" fillId="0" borderId="21" xfId="0" applyNumberFormat="1" applyBorder="1"/>
    <xf numFmtId="0" fontId="2" fillId="0" borderId="5" xfId="0" applyFont="1" applyBorder="1" applyAlignment="1">
      <alignment horizontal="center" wrapText="1"/>
    </xf>
    <xf numFmtId="1" fontId="2" fillId="0" borderId="3" xfId="0" applyNumberFormat="1" applyFont="1" applyBorder="1" applyAlignment="1">
      <alignment horizontal="center" wrapText="1"/>
    </xf>
    <xf numFmtId="1" fontId="0" fillId="0" borderId="46" xfId="0" applyNumberFormat="1" applyBorder="1" applyAlignment="1">
      <alignment horizontal="center"/>
    </xf>
    <xf numFmtId="1" fontId="0" fillId="0" borderId="6" xfId="0" applyNumberFormat="1" applyBorder="1" applyAlignment="1">
      <alignment horizontal="center"/>
    </xf>
    <xf numFmtId="164" fontId="0" fillId="0" borderId="46" xfId="1" applyNumberFormat="1" applyFont="1" applyBorder="1"/>
    <xf numFmtId="164" fontId="0" fillId="0" borderId="6" xfId="1" applyNumberFormat="1" applyFont="1" applyBorder="1"/>
    <xf numFmtId="164" fontId="0" fillId="0" borderId="46" xfId="0" applyNumberFormat="1" applyBorder="1"/>
    <xf numFmtId="14" fontId="0" fillId="0" borderId="6" xfId="0" applyNumberFormat="1" applyFill="1" applyBorder="1"/>
    <xf numFmtId="14" fontId="0" fillId="0" borderId="6" xfId="1" applyNumberFormat="1" applyFont="1" applyFill="1" applyBorder="1"/>
    <xf numFmtId="14" fontId="0" fillId="0" borderId="3" xfId="0" applyNumberFormat="1" applyFill="1" applyBorder="1"/>
    <xf numFmtId="14" fontId="0" fillId="0" borderId="3" xfId="1" applyNumberFormat="1" applyFont="1" applyFill="1" applyBorder="1"/>
    <xf numFmtId="170" fontId="0" fillId="0" borderId="6" xfId="1" applyNumberFormat="1" applyFont="1" applyFill="1" applyBorder="1"/>
    <xf numFmtId="170" fontId="0" fillId="0" borderId="3" xfId="1" applyNumberFormat="1" applyFont="1" applyFill="1" applyBorder="1"/>
    <xf numFmtId="0" fontId="4" fillId="8" borderId="47" xfId="15" applyFont="1" applyFill="1" applyBorder="1" applyAlignment="1">
      <alignment horizontal="center"/>
    </xf>
    <xf numFmtId="0" fontId="4" fillId="0" borderId="0" xfId="15" applyAlignment="1">
      <alignment horizontal="center"/>
    </xf>
    <xf numFmtId="0" fontId="4" fillId="8" borderId="10" xfId="15" applyFill="1" applyBorder="1" applyAlignment="1" applyProtection="1">
      <alignment horizontal="center"/>
      <protection locked="0"/>
    </xf>
    <xf numFmtId="0" fontId="4" fillId="9" borderId="3" xfId="15" applyFill="1" applyBorder="1" applyAlignment="1">
      <alignment horizontal="center" wrapText="1"/>
    </xf>
    <xf numFmtId="0" fontId="4" fillId="0" borderId="3" xfId="15" applyBorder="1" applyAlignment="1">
      <alignment horizontal="centerContinuous"/>
    </xf>
    <xf numFmtId="0" fontId="4" fillId="0" borderId="6" xfId="15" applyBorder="1" applyAlignment="1">
      <alignment horizontal="centerContinuous"/>
    </xf>
    <xf numFmtId="0" fontId="4" fillId="0" borderId="0" xfId="15" applyBorder="1" applyAlignment="1">
      <alignment horizontal="center"/>
    </xf>
    <xf numFmtId="0" fontId="17" fillId="10" borderId="20" xfId="15" applyFont="1" applyFill="1" applyBorder="1" applyAlignment="1">
      <alignment horizontal="centerContinuous"/>
    </xf>
    <xf numFmtId="0" fontId="17" fillId="10" borderId="1" xfId="15" applyFont="1" applyFill="1" applyBorder="1" applyAlignment="1">
      <alignment horizontal="centerContinuous"/>
    </xf>
    <xf numFmtId="0" fontId="17" fillId="9" borderId="3" xfId="15" applyFont="1" applyFill="1" applyBorder="1" applyAlignment="1">
      <alignment horizontal="center"/>
    </xf>
    <xf numFmtId="0" fontId="17" fillId="10" borderId="3" xfId="15" applyFont="1" applyFill="1" applyBorder="1" applyAlignment="1">
      <alignment horizontal="centerContinuous" wrapText="1"/>
    </xf>
    <xf numFmtId="0" fontId="4" fillId="0" borderId="3" xfId="15" applyBorder="1" applyAlignment="1">
      <alignment horizontal="center"/>
    </xf>
    <xf numFmtId="0" fontId="4" fillId="0" borderId="5" xfId="15" applyFont="1" applyBorder="1" applyAlignment="1">
      <alignment horizontal="center"/>
    </xf>
    <xf numFmtId="0" fontId="17" fillId="10" borderId="5" xfId="15" applyFont="1" applyFill="1" applyBorder="1" applyAlignment="1">
      <alignment wrapText="1"/>
    </xf>
    <xf numFmtId="0" fontId="17" fillId="10" borderId="3" xfId="15" applyFont="1" applyFill="1" applyBorder="1" applyAlignment="1">
      <alignment horizontal="center" wrapText="1"/>
    </xf>
    <xf numFmtId="0" fontId="17" fillId="10" borderId="3" xfId="15" applyFont="1" applyFill="1" applyBorder="1" applyAlignment="1">
      <alignment wrapText="1"/>
    </xf>
    <xf numFmtId="0" fontId="17" fillId="10" borderId="46" xfId="15" applyFont="1" applyFill="1" applyBorder="1" applyAlignment="1">
      <alignment horizontal="center" wrapText="1"/>
    </xf>
    <xf numFmtId="0" fontId="4" fillId="0" borderId="0" xfId="15" applyFont="1" applyBorder="1" applyAlignment="1">
      <alignment horizontal="left"/>
    </xf>
    <xf numFmtId="0" fontId="4" fillId="0" borderId="0" xfId="15" applyFont="1" applyBorder="1"/>
    <xf numFmtId="0" fontId="4" fillId="0" borderId="3" xfId="15" applyBorder="1"/>
    <xf numFmtId="9" fontId="4" fillId="0" borderId="3" xfId="10" applyFont="1" applyBorder="1" applyAlignment="1">
      <alignment horizontal="center"/>
    </xf>
    <xf numFmtId="172" fontId="4" fillId="0" borderId="3" xfId="15" applyNumberFormat="1" applyBorder="1" applyAlignment="1">
      <alignment horizontal="center"/>
    </xf>
    <xf numFmtId="173" fontId="4" fillId="0" borderId="3" xfId="15" applyNumberFormat="1" applyBorder="1" applyAlignment="1">
      <alignment horizontal="center"/>
    </xf>
    <xf numFmtId="0" fontId="4" fillId="0" borderId="3" xfId="15" applyBorder="1" applyAlignment="1">
      <alignment horizontal="left"/>
    </xf>
    <xf numFmtId="0" fontId="4" fillId="0" borderId="0" xfId="15" applyBorder="1"/>
    <xf numFmtId="0" fontId="4" fillId="0" borderId="0" xfId="15" applyFill="1" applyBorder="1"/>
    <xf numFmtId="0" fontId="4" fillId="0" borderId="3" xfId="15" applyFill="1" applyBorder="1" applyAlignment="1">
      <alignment horizontal="center"/>
    </xf>
    <xf numFmtId="172" fontId="4" fillId="0" borderId="3" xfId="15" applyNumberFormat="1" applyFill="1" applyBorder="1" applyAlignment="1">
      <alignment horizontal="center"/>
    </xf>
    <xf numFmtId="173" fontId="4" fillId="0" borderId="3" xfId="15" applyNumberFormat="1" applyFill="1" applyBorder="1" applyAlignment="1">
      <alignment horizontal="center"/>
    </xf>
    <xf numFmtId="0" fontId="25" fillId="0" borderId="0" xfId="15" applyFont="1"/>
    <xf numFmtId="0" fontId="17" fillId="0" borderId="0" xfId="15" applyFont="1"/>
    <xf numFmtId="0" fontId="0" fillId="2" borderId="6" xfId="0" applyFill="1" applyBorder="1" applyAlignment="1" applyProtection="1">
      <alignment horizontal="right"/>
      <protection locked="0"/>
    </xf>
    <xf numFmtId="0" fontId="0" fillId="2" borderId="6" xfId="0" applyFill="1" applyBorder="1" applyAlignment="1" applyProtection="1">
      <alignment horizontal="center"/>
      <protection locked="0"/>
    </xf>
    <xf numFmtId="0" fontId="20" fillId="0" borderId="0" xfId="23" applyBorder="1" applyProtection="1"/>
    <xf numFmtId="0" fontId="21" fillId="0" borderId="0" xfId="5" applyFont="1" applyFill="1" applyBorder="1" applyAlignment="1" applyProtection="1">
      <alignment horizontal="right" vertical="top"/>
    </xf>
    <xf numFmtId="0" fontId="21" fillId="5" borderId="3" xfId="8" applyNumberFormat="1" applyFont="1" applyFill="1" applyBorder="1" applyAlignment="1" applyProtection="1">
      <alignment horizontal="left"/>
    </xf>
    <xf numFmtId="0" fontId="20" fillId="0" borderId="0" xfId="23" applyFill="1" applyBorder="1" applyProtection="1"/>
    <xf numFmtId="0" fontId="21" fillId="0" borderId="0" xfId="5" applyFont="1" applyBorder="1" applyAlignment="1" applyProtection="1">
      <alignment vertical="top" wrapText="1"/>
    </xf>
    <xf numFmtId="0" fontId="21" fillId="0" borderId="0" xfId="5" applyFont="1" applyBorder="1" applyAlignment="1" applyProtection="1">
      <alignment horizontal="right" vertical="top"/>
    </xf>
    <xf numFmtId="0" fontId="22" fillId="0" borderId="0" xfId="5" applyFont="1" applyFill="1" applyBorder="1" applyAlignment="1" applyProtection="1">
      <alignment vertical="top"/>
    </xf>
    <xf numFmtId="0" fontId="21" fillId="0" borderId="0" xfId="5" applyFont="1" applyBorder="1" applyAlignment="1" applyProtection="1">
      <alignment vertical="top"/>
    </xf>
    <xf numFmtId="0" fontId="21" fillId="0" borderId="0" xfId="5" applyFont="1" applyFill="1" applyBorder="1" applyAlignment="1" applyProtection="1">
      <alignment vertical="top"/>
    </xf>
    <xf numFmtId="0" fontId="21" fillId="0" borderId="0" xfId="5" applyFont="1" applyFill="1" applyBorder="1" applyAlignment="1" applyProtection="1">
      <alignment horizontal="center" vertical="top"/>
    </xf>
    <xf numFmtId="0" fontId="7" fillId="0" borderId="0" xfId="6" applyBorder="1" applyProtection="1"/>
    <xf numFmtId="0" fontId="7" fillId="0" borderId="0" xfId="6" applyFill="1" applyBorder="1" applyProtection="1"/>
    <xf numFmtId="49" fontId="21" fillId="5" borderId="3" xfId="8" applyNumberFormat="1" applyFont="1" applyFill="1" applyBorder="1" applyAlignment="1" applyProtection="1">
      <alignment horizontal="left"/>
    </xf>
    <xf numFmtId="166" fontId="0" fillId="0" borderId="0" xfId="9" applyNumberFormat="1" applyFont="1" applyBorder="1" applyProtection="1"/>
    <xf numFmtId="0" fontId="7" fillId="0" borderId="0" xfId="23" applyFont="1" applyBorder="1" applyProtection="1"/>
    <xf numFmtId="9" fontId="0" fillId="0" borderId="0" xfId="10" applyFont="1" applyBorder="1" applyAlignment="1" applyProtection="1">
      <alignment horizontal="left"/>
    </xf>
    <xf numFmtId="0" fontId="20" fillId="0" borderId="1" xfId="23" applyBorder="1" applyProtection="1"/>
    <xf numFmtId="0" fontId="21" fillId="0" borderId="1" xfId="5" applyFont="1" applyBorder="1" applyAlignment="1" applyProtection="1">
      <alignment horizontal="right" vertical="top"/>
    </xf>
    <xf numFmtId="9" fontId="0" fillId="0" borderId="1" xfId="10" applyFont="1" applyBorder="1" applyAlignment="1" applyProtection="1">
      <alignment horizontal="left"/>
    </xf>
    <xf numFmtId="0" fontId="21" fillId="0" borderId="1" xfId="5" applyFont="1" applyFill="1" applyBorder="1" applyAlignment="1" applyProtection="1">
      <alignment horizontal="right" vertical="top"/>
    </xf>
    <xf numFmtId="168" fontId="20" fillId="0" borderId="1" xfId="23" applyNumberFormat="1" applyBorder="1" applyProtection="1"/>
    <xf numFmtId="168" fontId="20" fillId="0" borderId="0" xfId="23" applyNumberFormat="1" applyBorder="1" applyProtection="1"/>
    <xf numFmtId="0" fontId="9" fillId="0" borderId="1" xfId="23" applyFont="1" applyBorder="1" applyProtection="1"/>
    <xf numFmtId="1" fontId="21" fillId="5" borderId="3" xfId="9" applyNumberFormat="1" applyFont="1" applyFill="1" applyBorder="1" applyAlignment="1" applyProtection="1">
      <alignment horizontal="left"/>
    </xf>
    <xf numFmtId="14" fontId="21" fillId="5" borderId="3" xfId="8" applyNumberFormat="1" applyFont="1" applyFill="1" applyBorder="1" applyAlignment="1" applyProtection="1">
      <alignment horizontal="left"/>
    </xf>
    <xf numFmtId="8" fontId="21" fillId="5" borderId="3" xfId="8" applyNumberFormat="1" applyFont="1" applyFill="1" applyBorder="1" applyAlignment="1" applyProtection="1">
      <alignment horizontal="left"/>
    </xf>
    <xf numFmtId="0" fontId="21" fillId="6" borderId="0" xfId="5" applyFont="1" applyFill="1" applyBorder="1" applyAlignment="1" applyProtection="1">
      <alignment vertical="top"/>
      <protection locked="0"/>
    </xf>
    <xf numFmtId="0" fontId="22" fillId="6" borderId="0" xfId="5" applyFont="1" applyFill="1" applyBorder="1" applyAlignment="1" applyProtection="1">
      <alignment vertical="top"/>
      <protection locked="0"/>
    </xf>
    <xf numFmtId="0" fontId="24" fillId="0" borderId="0" xfId="5" applyFont="1" applyBorder="1" applyAlignment="1" applyProtection="1"/>
    <xf numFmtId="0" fontId="1" fillId="0" borderId="0" xfId="5" applyProtection="1"/>
    <xf numFmtId="0" fontId="10" fillId="0" borderId="15" xfId="5" applyFont="1" applyFill="1" applyBorder="1" applyAlignment="1" applyProtection="1">
      <alignment horizontal="left" vertical="top"/>
    </xf>
    <xf numFmtId="0" fontId="5" fillId="0" borderId="16" xfId="5" applyFont="1" applyFill="1" applyBorder="1" applyAlignment="1" applyProtection="1">
      <alignment vertical="top" wrapText="1"/>
    </xf>
    <xf numFmtId="0" fontId="10" fillId="0" borderId="17" xfId="5" applyFont="1" applyFill="1" applyBorder="1" applyAlignment="1" applyProtection="1">
      <alignment vertical="top"/>
    </xf>
    <xf numFmtId="0" fontId="5" fillId="0" borderId="18" xfId="5" applyFont="1" applyFill="1" applyBorder="1" applyAlignment="1" applyProtection="1">
      <alignment vertical="top"/>
    </xf>
    <xf numFmtId="0" fontId="5" fillId="0" borderId="20" xfId="5" applyFont="1" applyFill="1" applyBorder="1" applyAlignment="1" applyProtection="1">
      <alignment horizontal="center" vertical="top"/>
    </xf>
    <xf numFmtId="0" fontId="10" fillId="0" borderId="23" xfId="5" applyFont="1" applyFill="1" applyBorder="1" applyAlignment="1" applyProtection="1">
      <alignment vertical="top"/>
    </xf>
    <xf numFmtId="0" fontId="5" fillId="0" borderId="24" xfId="5" applyFont="1" applyFill="1" applyBorder="1" applyAlignment="1" applyProtection="1">
      <alignment vertical="top"/>
    </xf>
    <xf numFmtId="0" fontId="5" fillId="0" borderId="25" xfId="5" applyFont="1" applyFill="1" applyBorder="1" applyAlignment="1" applyProtection="1">
      <alignment vertical="top"/>
    </xf>
    <xf numFmtId="0" fontId="10" fillId="0" borderId="26" xfId="5" applyFont="1" applyFill="1" applyBorder="1" applyAlignment="1" applyProtection="1">
      <alignment vertical="top"/>
    </xf>
    <xf numFmtId="0" fontId="5" fillId="0" borderId="27" xfId="5" applyFont="1" applyFill="1" applyBorder="1" applyAlignment="1" applyProtection="1">
      <alignment vertical="top"/>
    </xf>
    <xf numFmtId="0" fontId="5" fillId="0" borderId="24" xfId="5" applyFont="1" applyFill="1" applyBorder="1" applyAlignment="1" applyProtection="1">
      <alignment vertical="top" wrapText="1"/>
    </xf>
    <xf numFmtId="0" fontId="5" fillId="0" borderId="25" xfId="5" applyFont="1" applyFill="1" applyBorder="1" applyAlignment="1" applyProtection="1">
      <alignment vertical="top" wrapText="1"/>
    </xf>
    <xf numFmtId="0" fontId="1" fillId="0" borderId="15" xfId="5" applyBorder="1" applyAlignment="1" applyProtection="1">
      <alignment horizontal="center"/>
    </xf>
    <xf numFmtId="0" fontId="15" fillId="0" borderId="11" xfId="0" applyFont="1" applyBorder="1" applyAlignment="1" applyProtection="1">
      <alignment horizontal="center" wrapText="1"/>
    </xf>
    <xf numFmtId="0" fontId="0" fillId="0" borderId="11" xfId="0" applyFont="1" applyBorder="1" applyAlignment="1" applyProtection="1">
      <alignment horizontal="center" wrapText="1"/>
    </xf>
    <xf numFmtId="0" fontId="0" fillId="3" borderId="12" xfId="0" applyFont="1" applyFill="1" applyBorder="1" applyAlignment="1" applyProtection="1">
      <alignment horizontal="center" wrapText="1"/>
    </xf>
    <xf numFmtId="0" fontId="0" fillId="0" borderId="0" xfId="5" applyFont="1" applyAlignment="1" applyProtection="1">
      <alignment horizontal="center" wrapText="1"/>
    </xf>
    <xf numFmtId="0" fontId="1" fillId="0" borderId="0" xfId="5" applyAlignment="1" applyProtection="1">
      <alignment horizontal="center"/>
    </xf>
    <xf numFmtId="0" fontId="1" fillId="0" borderId="19" xfId="5" applyBorder="1" applyProtection="1"/>
    <xf numFmtId="0" fontId="15" fillId="0" borderId="3" xfId="0" applyFont="1" applyBorder="1" applyAlignment="1" applyProtection="1">
      <alignment horizontal="center" vertical="top" wrapText="1"/>
    </xf>
    <xf numFmtId="6" fontId="14" fillId="0" borderId="3" xfId="0" applyNumberFormat="1" applyFont="1" applyBorder="1" applyAlignment="1" applyProtection="1">
      <alignment horizontal="right" vertical="top" wrapText="1"/>
    </xf>
    <xf numFmtId="164" fontId="15" fillId="0" borderId="3" xfId="0" applyNumberFormat="1" applyFont="1" applyBorder="1" applyAlignment="1" applyProtection="1">
      <alignment horizontal="right" vertical="top" wrapText="1"/>
    </xf>
    <xf numFmtId="0" fontId="15" fillId="3" borderId="13" xfId="0" applyFont="1" applyFill="1" applyBorder="1" applyAlignment="1" applyProtection="1">
      <alignment horizontal="left" vertical="top" wrapText="1"/>
    </xf>
    <xf numFmtId="166" fontId="1" fillId="0" borderId="0" xfId="1" applyNumberFormat="1" applyProtection="1"/>
    <xf numFmtId="166" fontId="1" fillId="0" borderId="0" xfId="5" applyNumberFormat="1" applyProtection="1"/>
    <xf numFmtId="164" fontId="5" fillId="0" borderId="30" xfId="5" applyNumberFormat="1" applyFont="1" applyBorder="1" applyAlignment="1" applyProtection="1">
      <alignment vertical="top" wrapText="1"/>
    </xf>
    <xf numFmtId="3" fontId="10" fillId="0" borderId="3" xfId="5" applyNumberFormat="1" applyFont="1" applyBorder="1" applyAlignment="1" applyProtection="1">
      <alignment horizontal="center" vertical="top" wrapText="1"/>
    </xf>
    <xf numFmtId="164" fontId="15" fillId="0" borderId="3" xfId="5" applyNumberFormat="1" applyFont="1" applyBorder="1" applyAlignment="1" applyProtection="1">
      <alignment vertical="top" wrapText="1"/>
    </xf>
    <xf numFmtId="0" fontId="11" fillId="4" borderId="29" xfId="5" applyFont="1" applyFill="1" applyBorder="1" applyAlignment="1" applyProtection="1">
      <alignment horizontal="left" vertical="top" wrapText="1"/>
    </xf>
    <xf numFmtId="0" fontId="5" fillId="0" borderId="23" xfId="0" applyFont="1" applyBorder="1" applyAlignment="1" applyProtection="1">
      <alignment horizontal="left" vertical="top"/>
    </xf>
    <xf numFmtId="0" fontId="5" fillId="0" borderId="24" xfId="5" applyFont="1" applyBorder="1" applyAlignment="1" applyProtection="1">
      <alignment vertical="top" wrapText="1"/>
    </xf>
    <xf numFmtId="0" fontId="5" fillId="0" borderId="25" xfId="5" applyFont="1" applyBorder="1" applyAlignment="1" applyProtection="1">
      <alignment horizontal="right" vertical="top"/>
    </xf>
    <xf numFmtId="166" fontId="11" fillId="0" borderId="4" xfId="9" applyNumberFormat="1" applyFont="1" applyBorder="1" applyAlignment="1" applyProtection="1">
      <alignment vertical="top" wrapText="1"/>
    </xf>
    <xf numFmtId="166" fontId="11" fillId="0" borderId="5" xfId="9" applyNumberFormat="1" applyFont="1" applyBorder="1" applyAlignment="1" applyProtection="1">
      <alignment horizontal="right" vertical="top" wrapText="1"/>
    </xf>
    <xf numFmtId="0" fontId="1" fillId="0" borderId="28" xfId="5" applyBorder="1" applyProtection="1"/>
    <xf numFmtId="0" fontId="1" fillId="0" borderId="1" xfId="5" applyBorder="1" applyProtection="1"/>
    <xf numFmtId="0" fontId="1" fillId="0" borderId="1" xfId="5" applyBorder="1" applyAlignment="1" applyProtection="1">
      <alignment horizontal="right"/>
    </xf>
    <xf numFmtId="164" fontId="10" fillId="0" borderId="3" xfId="0" applyNumberFormat="1" applyFont="1" applyFill="1" applyBorder="1" applyAlignment="1" applyProtection="1">
      <alignment horizontal="right" vertical="top"/>
    </xf>
    <xf numFmtId="0" fontId="5" fillId="0" borderId="3" xfId="5" applyFont="1" applyBorder="1" applyAlignment="1" applyProtection="1">
      <alignment horizontal="center" vertical="top" wrapText="1"/>
    </xf>
    <xf numFmtId="164" fontId="5" fillId="0" borderId="3" xfId="5" applyNumberFormat="1" applyFont="1" applyFill="1" applyBorder="1" applyAlignment="1" applyProtection="1">
      <alignment vertical="center"/>
    </xf>
    <xf numFmtId="164" fontId="6" fillId="0" borderId="8" xfId="5" applyNumberFormat="1" applyFont="1" applyBorder="1" applyAlignment="1" applyProtection="1">
      <alignment horizontal="right" vertical="center" wrapText="1"/>
    </xf>
    <xf numFmtId="0" fontId="10" fillId="5" borderId="40" xfId="5" applyFont="1" applyFill="1" applyBorder="1" applyAlignment="1" applyProtection="1">
      <alignment horizontal="center" vertical="top" wrapText="1"/>
    </xf>
    <xf numFmtId="0" fontId="1" fillId="0" borderId="19" xfId="5" applyBorder="1" applyAlignment="1" applyProtection="1"/>
    <xf numFmtId="0" fontId="1" fillId="0" borderId="0" xfId="5" applyAlignment="1" applyProtection="1"/>
    <xf numFmtId="0" fontId="5" fillId="3" borderId="23" xfId="5" applyFont="1" applyFill="1" applyBorder="1" applyAlignment="1" applyProtection="1">
      <alignment vertical="top"/>
    </xf>
    <xf numFmtId="0" fontId="5" fillId="3" borderId="24" xfId="5" applyFont="1" applyFill="1" applyBorder="1" applyAlignment="1" applyProtection="1">
      <alignment vertical="top"/>
    </xf>
    <xf numFmtId="0" fontId="5" fillId="3" borderId="25" xfId="5" applyFont="1" applyFill="1" applyBorder="1" applyAlignment="1" applyProtection="1">
      <alignment vertical="top"/>
    </xf>
    <xf numFmtId="0" fontId="5" fillId="3" borderId="19" xfId="5" applyFont="1" applyFill="1" applyBorder="1" applyAlignment="1" applyProtection="1">
      <alignment vertical="top"/>
    </xf>
    <xf numFmtId="0" fontId="5" fillId="3" borderId="0" xfId="5" applyFont="1" applyFill="1" applyBorder="1" applyAlignment="1" applyProtection="1">
      <alignment vertical="top"/>
    </xf>
    <xf numFmtId="0" fontId="5" fillId="3" borderId="36" xfId="5" applyFont="1" applyFill="1" applyBorder="1" applyAlignment="1" applyProtection="1">
      <alignment vertical="top"/>
    </xf>
    <xf numFmtId="0" fontId="5" fillId="3" borderId="28" xfId="5" applyFont="1" applyFill="1" applyBorder="1" applyAlignment="1" applyProtection="1">
      <alignment vertical="top"/>
    </xf>
    <xf numFmtId="0" fontId="5" fillId="3" borderId="1" xfId="5" applyFont="1" applyFill="1" applyBorder="1" applyAlignment="1" applyProtection="1">
      <alignment vertical="top"/>
    </xf>
    <xf numFmtId="0" fontId="5" fillId="3" borderId="21" xfId="5" applyFont="1" applyFill="1" applyBorder="1" applyAlignment="1" applyProtection="1">
      <alignment vertical="top"/>
    </xf>
    <xf numFmtId="0" fontId="5" fillId="3" borderId="26" xfId="5" applyFont="1" applyFill="1" applyBorder="1" applyAlignment="1" applyProtection="1">
      <alignment vertical="top"/>
    </xf>
    <xf numFmtId="0" fontId="5" fillId="3" borderId="30" xfId="5" applyFont="1" applyFill="1" applyBorder="1" applyAlignment="1" applyProtection="1">
      <alignment vertical="top"/>
    </xf>
    <xf numFmtId="0" fontId="5" fillId="3" borderId="27" xfId="5" applyFont="1" applyFill="1" applyBorder="1" applyAlignment="1" applyProtection="1">
      <alignment vertical="top" wrapText="1"/>
    </xf>
    <xf numFmtId="0" fontId="5" fillId="3" borderId="14" xfId="5" applyFont="1" applyFill="1" applyBorder="1" applyAlignment="1" applyProtection="1">
      <alignment vertical="top"/>
    </xf>
    <xf numFmtId="0" fontId="5" fillId="3" borderId="7" xfId="5" applyFont="1" applyFill="1" applyBorder="1" applyAlignment="1" applyProtection="1">
      <alignment vertical="top"/>
    </xf>
    <xf numFmtId="0" fontId="24" fillId="0" borderId="7" xfId="5" applyFont="1" applyBorder="1" applyAlignment="1" applyProtection="1">
      <alignment horizontal="center"/>
    </xf>
    <xf numFmtId="0" fontId="5" fillId="0" borderId="28" xfId="5" applyFont="1" applyFill="1" applyBorder="1" applyAlignment="1" applyProtection="1">
      <alignment horizontal="left" vertical="top"/>
    </xf>
    <xf numFmtId="0" fontId="5" fillId="0" borderId="1" xfId="5" applyFont="1" applyFill="1" applyBorder="1" applyAlignment="1" applyProtection="1">
      <alignment horizontal="left" vertical="top"/>
    </xf>
    <xf numFmtId="0" fontId="5" fillId="0" borderId="21" xfId="5" applyFont="1" applyFill="1" applyBorder="1" applyAlignment="1" applyProtection="1">
      <alignment horizontal="left" vertical="top"/>
    </xf>
    <xf numFmtId="0" fontId="5" fillId="0" borderId="20" xfId="5" applyFont="1" applyFill="1" applyBorder="1" applyAlignment="1" applyProtection="1">
      <alignment horizontal="left" vertical="top"/>
    </xf>
    <xf numFmtId="0" fontId="5" fillId="0" borderId="22" xfId="5" applyFont="1" applyFill="1" applyBorder="1" applyAlignment="1" applyProtection="1">
      <alignment horizontal="left" vertical="top"/>
    </xf>
    <xf numFmtId="0" fontId="5" fillId="0" borderId="19" xfId="5" applyFont="1" applyFill="1" applyBorder="1" applyAlignment="1" applyProtection="1">
      <alignment horizontal="left" vertical="top"/>
    </xf>
    <xf numFmtId="0" fontId="5" fillId="0" borderId="0" xfId="5" applyFont="1" applyFill="1" applyBorder="1" applyAlignment="1" applyProtection="1">
      <alignment horizontal="left" vertical="top"/>
    </xf>
    <xf numFmtId="0" fontId="5" fillId="0" borderId="20" xfId="5" applyFont="1" applyFill="1" applyBorder="1" applyAlignment="1" applyProtection="1">
      <alignment horizontal="left" vertical="top" wrapText="1"/>
    </xf>
    <xf numFmtId="0" fontId="5" fillId="0" borderId="21" xfId="5" applyFont="1" applyFill="1" applyBorder="1" applyAlignment="1" applyProtection="1">
      <alignment horizontal="left" vertical="top" wrapText="1"/>
    </xf>
    <xf numFmtId="0" fontId="5" fillId="0" borderId="36" xfId="5" applyFont="1" applyFill="1" applyBorder="1" applyAlignment="1" applyProtection="1">
      <alignment horizontal="left" vertical="top"/>
    </xf>
    <xf numFmtId="0" fontId="5" fillId="0" borderId="37" xfId="5" applyFont="1" applyFill="1" applyBorder="1" applyAlignment="1" applyProtection="1">
      <alignment horizontal="left" vertical="top"/>
    </xf>
    <xf numFmtId="0" fontId="5" fillId="0" borderId="29" xfId="5" applyFont="1" applyFill="1" applyBorder="1" applyAlignment="1" applyProtection="1">
      <alignment horizontal="left" vertical="top"/>
    </xf>
    <xf numFmtId="0" fontId="5" fillId="0" borderId="30" xfId="5" applyFont="1" applyBorder="1" applyAlignment="1" applyProtection="1">
      <alignment horizontal="right" vertical="top" wrapText="1"/>
    </xf>
    <xf numFmtId="0" fontId="5" fillId="0" borderId="0" xfId="5" applyFont="1" applyBorder="1" applyAlignment="1" applyProtection="1">
      <alignment horizontal="left" vertical="top" wrapText="1"/>
    </xf>
    <xf numFmtId="0" fontId="5" fillId="0" borderId="29" xfId="5" applyFont="1" applyBorder="1" applyAlignment="1" applyProtection="1">
      <alignment horizontal="left" vertical="top" wrapText="1"/>
    </xf>
    <xf numFmtId="0" fontId="5" fillId="0" borderId="1" xfId="5" applyFont="1" applyBorder="1" applyAlignment="1" applyProtection="1">
      <alignment horizontal="left" vertical="top" wrapText="1"/>
    </xf>
    <xf numFmtId="0" fontId="5" fillId="0" borderId="22" xfId="5" applyFont="1" applyBorder="1" applyAlignment="1" applyProtection="1">
      <alignment horizontal="left" vertical="top" wrapText="1"/>
    </xf>
    <xf numFmtId="0" fontId="5" fillId="0" borderId="19" xfId="5" applyFont="1" applyBorder="1" applyAlignment="1" applyProtection="1">
      <alignment horizontal="left" vertical="top" wrapText="1"/>
    </xf>
    <xf numFmtId="0" fontId="5" fillId="0" borderId="28" xfId="5" applyFont="1" applyBorder="1" applyAlignment="1" applyProtection="1">
      <alignment horizontal="left" vertical="top" wrapText="1"/>
    </xf>
    <xf numFmtId="0" fontId="10" fillId="0" borderId="41" xfId="5" applyFont="1" applyBorder="1" applyAlignment="1" applyProtection="1">
      <alignment horizontal="right" vertical="center" wrapText="1"/>
    </xf>
    <xf numFmtId="0" fontId="10" fillId="0" borderId="42" xfId="5" applyFont="1" applyBorder="1" applyAlignment="1" applyProtection="1">
      <alignment horizontal="right" vertical="center" wrapText="1"/>
    </xf>
    <xf numFmtId="0" fontId="10" fillId="0" borderId="9" xfId="5" applyFont="1" applyBorder="1" applyAlignment="1" applyProtection="1">
      <alignment horizontal="right" vertical="center" wrapText="1"/>
    </xf>
    <xf numFmtId="0" fontId="11" fillId="0" borderId="19" xfId="5" applyFont="1" applyBorder="1" applyAlignment="1" applyProtection="1">
      <alignment horizontal="left" vertical="top" wrapText="1"/>
    </xf>
    <xf numFmtId="0" fontId="11" fillId="0" borderId="0" xfId="5" applyFont="1" applyBorder="1" applyAlignment="1" applyProtection="1">
      <alignment horizontal="left" vertical="top" wrapText="1"/>
    </xf>
    <xf numFmtId="0" fontId="11" fillId="0" borderId="29" xfId="5" applyFont="1" applyBorder="1" applyAlignment="1" applyProtection="1">
      <alignment horizontal="left" vertical="top" wrapText="1"/>
    </xf>
    <xf numFmtId="0" fontId="10" fillId="3" borderId="33" xfId="5" applyFont="1" applyFill="1" applyBorder="1" applyAlignment="1" applyProtection="1">
      <alignment horizontal="center" wrapText="1"/>
    </xf>
    <xf numFmtId="0" fontId="10" fillId="3" borderId="34" xfId="5" applyFont="1" applyFill="1" applyBorder="1" applyAlignment="1" applyProtection="1">
      <alignment horizontal="center" wrapText="1"/>
    </xf>
    <xf numFmtId="0" fontId="10" fillId="3" borderId="35" xfId="5" applyFont="1" applyFill="1" applyBorder="1" applyAlignment="1" applyProtection="1">
      <alignment horizontal="center" wrapText="1"/>
    </xf>
    <xf numFmtId="0" fontId="5" fillId="3" borderId="26" xfId="5" applyFont="1" applyFill="1" applyBorder="1" applyAlignment="1" applyProtection="1">
      <alignment horizontal="left" vertical="top" wrapText="1"/>
    </xf>
    <xf numFmtId="0" fontId="5" fillId="3" borderId="24" xfId="5" applyFont="1" applyFill="1" applyBorder="1" applyAlignment="1" applyProtection="1">
      <alignment horizontal="left" vertical="top" wrapText="1"/>
    </xf>
    <xf numFmtId="0" fontId="5" fillId="3" borderId="27" xfId="5" applyFont="1" applyFill="1" applyBorder="1" applyAlignment="1" applyProtection="1">
      <alignment horizontal="left" vertical="top" wrapText="1"/>
    </xf>
    <xf numFmtId="0" fontId="5" fillId="3" borderId="37" xfId="5" applyFont="1" applyFill="1" applyBorder="1" applyAlignment="1" applyProtection="1">
      <alignment horizontal="left" vertical="top" wrapText="1"/>
    </xf>
    <xf numFmtId="0" fontId="5" fillId="3" borderId="0" xfId="5" applyFont="1" applyFill="1" applyBorder="1" applyAlignment="1" applyProtection="1">
      <alignment horizontal="left" vertical="top" wrapText="1"/>
    </xf>
    <xf numFmtId="0" fontId="5" fillId="3" borderId="29" xfId="5" applyFont="1" applyFill="1" applyBorder="1" applyAlignment="1" applyProtection="1">
      <alignment horizontal="left" vertical="top" wrapText="1"/>
    </xf>
    <xf numFmtId="0" fontId="5" fillId="3" borderId="20" xfId="5" applyFont="1" applyFill="1" applyBorder="1" applyAlignment="1" applyProtection="1">
      <alignment horizontal="left" vertical="top" wrapText="1"/>
    </xf>
    <xf numFmtId="0" fontId="5" fillId="3" borderId="1" xfId="5" applyFont="1" applyFill="1" applyBorder="1" applyAlignment="1" applyProtection="1">
      <alignment horizontal="left" vertical="top" wrapText="1"/>
    </xf>
    <xf numFmtId="0" fontId="5" fillId="3" borderId="22" xfId="5" applyFont="1" applyFill="1" applyBorder="1" applyAlignment="1" applyProtection="1">
      <alignment horizontal="left" vertical="top" wrapText="1"/>
    </xf>
    <xf numFmtId="0" fontId="13" fillId="0" borderId="31" xfId="5" applyFont="1" applyBorder="1" applyAlignment="1" applyProtection="1">
      <alignment horizontal="left" vertical="top" wrapText="1"/>
    </xf>
    <xf numFmtId="0" fontId="13" fillId="0" borderId="2" xfId="5" applyFont="1" applyBorder="1" applyAlignment="1" applyProtection="1">
      <alignment horizontal="left" vertical="top" wrapText="1"/>
    </xf>
    <xf numFmtId="0" fontId="13" fillId="0" borderId="32" xfId="5" applyFont="1" applyBorder="1" applyAlignment="1" applyProtection="1">
      <alignment horizontal="left" vertical="top" wrapText="1"/>
    </xf>
    <xf numFmtId="0" fontId="10" fillId="0" borderId="23" xfId="5" applyFont="1" applyBorder="1" applyAlignment="1" applyProtection="1">
      <alignment horizontal="center" vertical="top" wrapText="1"/>
    </xf>
    <xf numFmtId="0" fontId="10" fillId="0" borderId="24" xfId="5" applyFont="1" applyBorder="1" applyAlignment="1" applyProtection="1">
      <alignment horizontal="center" vertical="top" wrapText="1"/>
    </xf>
    <xf numFmtId="0" fontId="10" fillId="0" borderId="27" xfId="5" applyFont="1" applyBorder="1" applyAlignment="1" applyProtection="1">
      <alignment horizontal="center" vertical="top" wrapText="1"/>
    </xf>
    <xf numFmtId="0" fontId="10" fillId="0" borderId="19" xfId="5" applyFont="1" applyBorder="1" applyAlignment="1" applyProtection="1">
      <alignment horizontal="center" vertical="top" wrapText="1"/>
    </xf>
    <xf numFmtId="0" fontId="10" fillId="0" borderId="0" xfId="5" applyFont="1" applyBorder="1" applyAlignment="1" applyProtection="1">
      <alignment horizontal="center" vertical="top" wrapText="1"/>
    </xf>
    <xf numFmtId="0" fontId="10" fillId="0" borderId="0" xfId="5" applyFont="1" applyBorder="1" applyAlignment="1" applyProtection="1">
      <alignment horizontal="left" vertical="top" wrapText="1"/>
    </xf>
    <xf numFmtId="0" fontId="10" fillId="0" borderId="29" xfId="5" applyFont="1" applyBorder="1" applyAlignment="1" applyProtection="1">
      <alignment horizontal="left" vertical="top" wrapText="1"/>
    </xf>
  </cellXfs>
  <cellStyles count="24">
    <cellStyle name="Comma" xfId="1" builtinId="3"/>
    <cellStyle name="Comma 2" xfId="3"/>
    <cellStyle name="Comma 3" xfId="9"/>
    <cellStyle name="Comma 3 2" xfId="21"/>
    <cellStyle name="Comma 4" xfId="18"/>
    <cellStyle name="Currency" xfId="2" builtinId="4"/>
    <cellStyle name="Currency 2" xfId="8"/>
    <cellStyle name="Date/Time" xfId="11"/>
    <cellStyle name="Decimal" xfId="12"/>
    <cellStyle name="Heading" xfId="13"/>
    <cellStyle name="Hyperlink" xfId="7" builtinId="8"/>
    <cellStyle name="Integer" xfId="14"/>
    <cellStyle name="Normal" xfId="0" builtinId="0"/>
    <cellStyle name="Normal 2" xfId="5"/>
    <cellStyle name="Normal 2 2" xfId="19"/>
    <cellStyle name="Normal 3" xfId="6"/>
    <cellStyle name="Normal 4" xfId="16"/>
    <cellStyle name="Normal 5" xfId="23"/>
    <cellStyle name="Normal_ComLightRetroFY07v1_1" xfId="15"/>
    <cellStyle name="Percent" xfId="22" builtinId="5"/>
    <cellStyle name="Percent 2" xfId="4"/>
    <cellStyle name="Percent 3" xfId="10"/>
    <cellStyle name="Percent 3 2" xfId="20"/>
    <cellStyle name="Percent 4"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'Condenser Fan Savings'!$D$27</c:f>
              <c:strCache>
                <c:ptCount val="1"/>
                <c:pt idx="0">
                  <c:v>CR = 5.6</c:v>
                </c:pt>
              </c:strCache>
            </c:strRef>
          </c:tx>
          <c:spPr>
            <a:ln w="28575">
              <a:noFill/>
            </a:ln>
          </c:spPr>
          <c:trendline>
            <c:trendlineType val="exp"/>
          </c:trendline>
          <c:xVal>
            <c:numRef>
              <c:f>'Condenser Fan Savings'!$A$28:$A$30</c:f>
              <c:numCache>
                <c:formatCode>0%</c:formatCode>
                <c:ptCount val="3"/>
                <c:pt idx="0">
                  <c:v>1</c:v>
                </c:pt>
                <c:pt idx="1">
                  <c:v>0.2</c:v>
                </c:pt>
                <c:pt idx="2">
                  <c:v>0.12</c:v>
                </c:pt>
              </c:numCache>
            </c:numRef>
          </c:xVal>
          <c:yVal>
            <c:numRef>
              <c:f>'Condenser Fan Savings'!$D$28:$D$30</c:f>
              <c:numCache>
                <c:formatCode>0%</c:formatCode>
                <c:ptCount val="3"/>
                <c:pt idx="0">
                  <c:v>1</c:v>
                </c:pt>
                <c:pt idx="1">
                  <c:v>0.4121052631578947</c:v>
                </c:pt>
                <c:pt idx="2">
                  <c:v>0.37736842105263158</c:v>
                </c:pt>
              </c:numCache>
            </c:numRef>
          </c:yVal>
        </c:ser>
        <c:ser>
          <c:idx val="1"/>
          <c:order val="1"/>
          <c:tx>
            <c:strRef>
              <c:f>'Condenser Fan Savings'!$E$27</c:f>
              <c:strCache>
                <c:ptCount val="1"/>
                <c:pt idx="0">
                  <c:v>CR = 4.6</c:v>
                </c:pt>
              </c:strCache>
            </c:strRef>
          </c:tx>
          <c:spPr>
            <a:ln w="28575">
              <a:noFill/>
            </a:ln>
          </c:spPr>
          <c:trendline>
            <c:trendlineType val="exp"/>
          </c:trendline>
          <c:xVal>
            <c:numRef>
              <c:f>'Condenser Fan Savings'!$A$28:$A$30</c:f>
              <c:numCache>
                <c:formatCode>0%</c:formatCode>
                <c:ptCount val="3"/>
                <c:pt idx="0">
                  <c:v>1</c:v>
                </c:pt>
                <c:pt idx="1">
                  <c:v>0.2</c:v>
                </c:pt>
                <c:pt idx="2">
                  <c:v>0.12</c:v>
                </c:pt>
              </c:numCache>
            </c:numRef>
          </c:xVal>
          <c:yVal>
            <c:numRef>
              <c:f>'Condenser Fan Savings'!$E$28:$E$30</c:f>
              <c:numCache>
                <c:formatCode>0%</c:formatCode>
                <c:ptCount val="3"/>
                <c:pt idx="0">
                  <c:v>0.85789473684210527</c:v>
                </c:pt>
                <c:pt idx="1">
                  <c:v>0.34105263157894733</c:v>
                </c:pt>
                <c:pt idx="2">
                  <c:v>0.31105263157894736</c:v>
                </c:pt>
              </c:numCache>
            </c:numRef>
          </c:yVal>
        </c:ser>
        <c:axId val="122338304"/>
        <c:axId val="122348288"/>
      </c:scatterChart>
      <c:valAx>
        <c:axId val="122338304"/>
        <c:scaling>
          <c:orientation val="minMax"/>
          <c:max val="1"/>
        </c:scaling>
        <c:axPos val="b"/>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2348288"/>
        <c:crosses val="autoZero"/>
        <c:crossBetween val="midCat"/>
      </c:valAx>
      <c:valAx>
        <c:axId val="122348288"/>
        <c:scaling>
          <c:orientation val="minMax"/>
          <c:max val="1"/>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2338304"/>
        <c:crosses val="autoZero"/>
        <c:crossBetween val="midCat"/>
      </c:valAx>
    </c:plotArea>
    <c:legend>
      <c:legendPos val="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14</xdr:col>
      <xdr:colOff>400050</xdr:colOff>
      <xdr:row>24</xdr:row>
      <xdr:rowOff>95250</xdr:rowOff>
    </xdr:to>
    <xdr:pic>
      <xdr:nvPicPr>
        <xdr:cNvPr id="2"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4143375" y="0"/>
          <a:ext cx="5362575" cy="4467225"/>
        </a:xfrm>
        <a:prstGeom prst="rect">
          <a:avLst/>
        </a:prstGeom>
        <a:noFill/>
        <a:ln w="9525">
          <a:noFill/>
          <a:miter lim="800000"/>
          <a:headEnd/>
          <a:tailEnd/>
        </a:ln>
      </xdr:spPr>
    </xdr:pic>
    <xdr:clientData/>
  </xdr:twoCellAnchor>
  <xdr:twoCellAnchor>
    <xdr:from>
      <xdr:col>5</xdr:col>
      <xdr:colOff>571500</xdr:colOff>
      <xdr:row>24</xdr:row>
      <xdr:rowOff>114300</xdr:rowOff>
    </xdr:from>
    <xdr:to>
      <xdr:col>13</xdr:col>
      <xdr:colOff>266700</xdr:colOff>
      <xdr:row>40</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rtf.nwppc.org/Documents%20and%20Settings/ccryan/Local%20Settings/Temporary%20Internet%20Files/OLK68/LightSaveYie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ergy%20Services/I937/Programs%20and%20Incentives/Individual%20Program%20Summaries/Commercial%20Industrial%20Lighting/Resource$mart%20Lighting%20Calculat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ergy%20Services/I937/Conservation_Potential/Industrial%20Conservation%20Potential/Condenser%20Fan%20VFD's/MYCOM%20Compressor%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nergy%20Services/I937/Programs%20and%20Incentives/Commercial%20Industrial%20Lighting/Resource$mart%20Lighting%20Calculato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rtf.nwppc.org/CG/Main/Plan%205/Commercial/Assessment/HVAC/ComLighting_v2004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nergy%20Services/I937/Programs%20and%20Incentives/Commercial%20Industrial%20Lighting/Resource$mart%20Lighting%20Calculato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SYield"/>
      <sheetName val="Plan5CHAR"/>
      <sheetName val="BType Names"/>
    </sheetNames>
    <sheetDataSet>
      <sheetData sheetId="0">
        <row r="2">
          <cell r="A2" t="str">
            <v>5th Plan Building Type Names</v>
          </cell>
        </row>
      </sheetData>
      <sheetData sheetId="1"/>
      <sheetData sheetId="2">
        <row r="2">
          <cell r="A2" t="str">
            <v>5th Plan Building Type Names</v>
          </cell>
          <cell r="B2" t="str">
            <v>Synergy Building Type Names</v>
          </cell>
        </row>
        <row r="3">
          <cell r="A3" t="str">
            <v>University</v>
          </cell>
          <cell r="B3" t="str">
            <v xml:space="preserve"> College or University</v>
          </cell>
        </row>
        <row r="4">
          <cell r="A4" t="str">
            <v>Hospital</v>
          </cell>
          <cell r="B4" t="str">
            <v xml:space="preserve"> Hospital</v>
          </cell>
        </row>
        <row r="5">
          <cell r="A5" t="str">
            <v>Lodging</v>
          </cell>
          <cell r="B5" t="str">
            <v xml:space="preserve"> Lodging</v>
          </cell>
        </row>
        <row r="6">
          <cell r="A6" t="str">
            <v>Small Off</v>
          </cell>
          <cell r="B6" t="str">
            <v xml:space="preserve"> Office &lt;20,000 sf</v>
          </cell>
        </row>
        <row r="7">
          <cell r="A7" t="str">
            <v>Medium Off</v>
          </cell>
          <cell r="B7" t="str">
            <v xml:space="preserve"> Office &gt;100,000 sf</v>
          </cell>
        </row>
        <row r="8">
          <cell r="A8" t="str">
            <v>Large Off</v>
          </cell>
          <cell r="B8" t="str">
            <v xml:space="preserve"> Office 20,000 to 100,000 sf</v>
          </cell>
        </row>
        <row r="9">
          <cell r="A9" t="str">
            <v>Other</v>
          </cell>
          <cell r="B9" t="str">
            <v xml:space="preserve"> Other Commercial</v>
          </cell>
        </row>
        <row r="10">
          <cell r="A10" t="str">
            <v>OtherHealth</v>
          </cell>
          <cell r="B10" t="str">
            <v xml:space="preserve"> Other Health, Nursing, Medical Clinic</v>
          </cell>
        </row>
        <row r="11">
          <cell r="A11" t="str">
            <v>Restaurant</v>
          </cell>
          <cell r="B11" t="str">
            <v xml:space="preserve"> Restaurant</v>
          </cell>
        </row>
        <row r="12">
          <cell r="A12" t="str">
            <v>Small Box</v>
          </cell>
          <cell r="B12" t="str">
            <v xml:space="preserve"> Retail 5,000 to 50,000 sf</v>
          </cell>
        </row>
        <row r="13">
          <cell r="A13" t="str">
            <v>Anchor</v>
          </cell>
          <cell r="B13" t="str">
            <v xml:space="preserve"> Retail Anchor Store &gt;50,000 sf Multistory</v>
          </cell>
        </row>
        <row r="14">
          <cell r="A14" t="str">
            <v>Big Box</v>
          </cell>
          <cell r="B14" t="str">
            <v xml:space="preserve"> Retail Big Box &gt;50,000 sf One-Story</v>
          </cell>
        </row>
        <row r="15">
          <cell r="A15" t="str">
            <v>High End</v>
          </cell>
          <cell r="B15" t="str">
            <v xml:space="preserve"> Retail Boutique &lt;5,000 sf</v>
          </cell>
        </row>
        <row r="16">
          <cell r="A16" t="str">
            <v>MiniMart</v>
          </cell>
          <cell r="B16" t="str">
            <v xml:space="preserve"> Retail Mini Mart</v>
          </cell>
        </row>
        <row r="17">
          <cell r="A17" t="str">
            <v>Supermarket</v>
          </cell>
          <cell r="B17" t="str">
            <v xml:space="preserve"> Retail Supermarket</v>
          </cell>
        </row>
        <row r="18">
          <cell r="A18" t="str">
            <v>K-12</v>
          </cell>
          <cell r="B18" t="str">
            <v xml:space="preserve"> School K-12</v>
          </cell>
        </row>
        <row r="19">
          <cell r="A19" t="str">
            <v>Warehouse</v>
          </cell>
          <cell r="B19" t="str">
            <v xml:space="preserve"> Warehouse</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put Sheet (Start Here)"/>
      <sheetName val="Proposed Lighting Retrofit"/>
      <sheetName val="Application"/>
      <sheetName val="COTR"/>
      <sheetName val="Data Existing"/>
      <sheetName val="Proposed Controls"/>
      <sheetName val="Data Proposed"/>
      <sheetName val="ProjectBC"/>
      <sheetName val="LSYield"/>
      <sheetName val="ShapePV"/>
      <sheetName val="BugList"/>
      <sheetName val="LSYield2"/>
      <sheetName val="CEE Lamps"/>
      <sheetName val="CEE Ballasts"/>
      <sheetName val="Project Summary"/>
      <sheetName val="uploaddata"/>
      <sheetName val="CustMeas"/>
      <sheetName val="As-Built Lighting"/>
    </sheetNames>
    <sheetDataSet>
      <sheetData sheetId="0" refreshError="1"/>
      <sheetData sheetId="1" refreshError="1"/>
      <sheetData sheetId="2" refreshError="1"/>
      <sheetData sheetId="3" refreshError="1"/>
      <sheetData sheetId="4">
        <row r="3">
          <cell r="B3" t="str">
            <v xml:space="preserve"> Description of Existing Lamp/Ballast Combination  </v>
          </cell>
          <cell r="C3" t="str">
            <v>Input Watts</v>
          </cell>
          <cell r="D3" t="str">
            <v>Mean System Lumens</v>
          </cell>
          <cell r="E3" t="str">
            <v xml:space="preserve">        Suggested Upgrades / Notes</v>
          </cell>
          <cell r="F3" t="str">
            <v>Rated Average Lamp Life (hours/lamp for RS ballast @ 12 hours/start)</v>
          </cell>
          <cell r="G3" t="str">
            <v>Lamp Cost ($/lamp)</v>
          </cell>
          <cell r="H3" t="str">
            <v>Lamp Change Labor (hours/lamp)</v>
          </cell>
        </row>
        <row r="5">
          <cell r="B5" t="str">
            <v>Describe existing lamp/ballast combination here</v>
          </cell>
          <cell r="E5" t="str">
            <v xml:space="preserve">&lt;&lt;Input a wattage and mean system lumens </v>
          </cell>
        </row>
        <row r="6">
          <cell r="B6" t="str">
            <v>=================================</v>
          </cell>
        </row>
        <row r="7">
          <cell r="B7" t="str">
            <v>EXIT SIGNS</v>
          </cell>
        </row>
        <row r="8">
          <cell r="B8" t="str">
            <v>=================================</v>
          </cell>
        </row>
        <row r="9">
          <cell r="B9" t="str">
            <v>Incandescent Exit Sign, 2-5 Watt Lamps</v>
          </cell>
          <cell r="C9">
            <v>10</v>
          </cell>
          <cell r="D9">
            <v>2</v>
          </cell>
          <cell r="E9" t="str">
            <v xml:space="preserve">New LED Exit Sign </v>
          </cell>
          <cell r="F9">
            <v>10000</v>
          </cell>
          <cell r="G9">
            <v>2.31</v>
          </cell>
          <cell r="H9">
            <v>0.1</v>
          </cell>
        </row>
        <row r="10">
          <cell r="B10" t="str">
            <v>Incandescent Exit Sign, 2-8 Watt Lamps</v>
          </cell>
          <cell r="C10">
            <v>16</v>
          </cell>
          <cell r="D10">
            <v>2</v>
          </cell>
          <cell r="E10" t="str">
            <v xml:space="preserve">New LED Exit Sign </v>
          </cell>
          <cell r="F10">
            <v>10000</v>
          </cell>
          <cell r="G10">
            <v>2.31</v>
          </cell>
          <cell r="H10">
            <v>0.1</v>
          </cell>
        </row>
        <row r="11">
          <cell r="B11" t="str">
            <v>Incandescent Exit Sign, 2-10 Watt Lamps</v>
          </cell>
          <cell r="C11">
            <v>20</v>
          </cell>
          <cell r="D11">
            <v>2</v>
          </cell>
          <cell r="E11" t="str">
            <v xml:space="preserve">New LED Exit Sign </v>
          </cell>
          <cell r="F11">
            <v>10000</v>
          </cell>
          <cell r="G11">
            <v>2.31</v>
          </cell>
          <cell r="H11">
            <v>0.1</v>
          </cell>
        </row>
        <row r="12">
          <cell r="B12" t="str">
            <v>Incandescent Exit Sign, 2-15 Watt Lamps</v>
          </cell>
          <cell r="C12">
            <v>30</v>
          </cell>
          <cell r="D12">
            <v>2</v>
          </cell>
          <cell r="E12" t="str">
            <v xml:space="preserve">New LED Exit Sign </v>
          </cell>
          <cell r="F12">
            <v>10000</v>
          </cell>
          <cell r="G12">
            <v>2.31</v>
          </cell>
          <cell r="H12">
            <v>0.1</v>
          </cell>
        </row>
        <row r="13">
          <cell r="B13" t="str">
            <v>Incandescent Exit Sign, 2-20 Watt Lamps</v>
          </cell>
          <cell r="C13">
            <v>40</v>
          </cell>
          <cell r="D13">
            <v>2</v>
          </cell>
          <cell r="E13" t="str">
            <v xml:space="preserve">New LED Exit Sign </v>
          </cell>
          <cell r="F13">
            <v>10000</v>
          </cell>
          <cell r="G13">
            <v>2.31</v>
          </cell>
          <cell r="H13">
            <v>0.1</v>
          </cell>
        </row>
        <row r="14">
          <cell r="B14" t="str">
            <v>Incandescent Exit Sign, 2-25 Watt Lamps</v>
          </cell>
          <cell r="C14">
            <v>50</v>
          </cell>
          <cell r="D14">
            <v>2</v>
          </cell>
          <cell r="E14" t="str">
            <v xml:space="preserve">New LED Exit Sign </v>
          </cell>
          <cell r="F14">
            <v>10000</v>
          </cell>
          <cell r="G14">
            <v>2.31</v>
          </cell>
          <cell r="H14">
            <v>0.1</v>
          </cell>
        </row>
        <row r="15">
          <cell r="B15" t="str">
            <v>Incandescent Exit Sign, 2-40 Watt Lamps</v>
          </cell>
          <cell r="C15">
            <v>80</v>
          </cell>
          <cell r="D15">
            <v>2</v>
          </cell>
          <cell r="E15" t="str">
            <v xml:space="preserve">New LED Exit Sign </v>
          </cell>
          <cell r="F15">
            <v>10000</v>
          </cell>
          <cell r="G15">
            <v>2.31</v>
          </cell>
          <cell r="H15">
            <v>0.1</v>
          </cell>
        </row>
        <row r="16">
          <cell r="B16" t="str">
            <v>=================================</v>
          </cell>
        </row>
        <row r="17">
          <cell r="B17" t="str">
            <v>T8 DE-LAMP</v>
          </cell>
        </row>
        <row r="18">
          <cell r="B18" t="str">
            <v>=================================</v>
          </cell>
        </row>
        <row r="19">
          <cell r="B19" t="str">
            <v>Standard 4' T8 2 lamp 32 Watt</v>
          </cell>
          <cell r="C19">
            <v>60</v>
          </cell>
          <cell r="D19">
            <v>4932.3999999999996</v>
          </cell>
        </row>
        <row r="20">
          <cell r="B20" t="str">
            <v xml:space="preserve">Standard 4' T8 3 lamp 32 Watt </v>
          </cell>
          <cell r="C20">
            <v>90</v>
          </cell>
          <cell r="D20">
            <v>6969.375</v>
          </cell>
        </row>
        <row r="21">
          <cell r="B21" t="str">
            <v xml:space="preserve">Standard 4' T8 4 lamp 32 Watt </v>
          </cell>
          <cell r="C21">
            <v>114</v>
          </cell>
          <cell r="D21">
            <v>9292.5</v>
          </cell>
        </row>
        <row r="22">
          <cell r="B22" t="str">
            <v>Standard 4' T8 6 lamp 32 Watt</v>
          </cell>
          <cell r="C22">
            <v>162</v>
          </cell>
          <cell r="D22">
            <v>15372.9</v>
          </cell>
        </row>
        <row r="23">
          <cell r="B23" t="str">
            <v>=================================</v>
          </cell>
        </row>
        <row r="24">
          <cell r="B24" t="str">
            <v>T12 FLUORESCENT (LAMPS UNDER 8')</v>
          </cell>
        </row>
        <row r="25">
          <cell r="B25" t="str">
            <v>=================================</v>
          </cell>
        </row>
        <row r="26">
          <cell r="B26" t="str">
            <v>T12 2' Fluorescent, 1-20 Watt Lamp, Magnetic Ballast</v>
          </cell>
          <cell r="C26">
            <v>24</v>
          </cell>
          <cell r="D26">
            <v>960</v>
          </cell>
          <cell r="E26" t="str">
            <v>T8 High Performance</v>
          </cell>
          <cell r="F26">
            <v>7500</v>
          </cell>
          <cell r="G26">
            <v>2.17</v>
          </cell>
          <cell r="H26">
            <v>0.09</v>
          </cell>
        </row>
        <row r="27">
          <cell r="B27" t="str">
            <v>T12 3' Fluorescent, 1-30 Watt Lamp, Magnetic Ballast</v>
          </cell>
          <cell r="C27">
            <v>36</v>
          </cell>
          <cell r="D27">
            <v>1630</v>
          </cell>
          <cell r="E27" t="str">
            <v>T8 High Performance</v>
          </cell>
          <cell r="F27">
            <v>18000</v>
          </cell>
          <cell r="G27">
            <v>3.29</v>
          </cell>
          <cell r="H27">
            <v>0.09</v>
          </cell>
        </row>
        <row r="28">
          <cell r="B28" t="str">
            <v>T12 2'x2' Fluorescent, 1-40 Watt U-Tube Lamp, Magnetic Ballast</v>
          </cell>
          <cell r="C28">
            <v>48</v>
          </cell>
          <cell r="D28">
            <v>2775</v>
          </cell>
          <cell r="E28" t="str">
            <v>T8 High Performance</v>
          </cell>
          <cell r="F28">
            <v>20000</v>
          </cell>
          <cell r="G28">
            <v>4.8</v>
          </cell>
          <cell r="H28">
            <v>0.09</v>
          </cell>
        </row>
        <row r="29">
          <cell r="B29" t="str">
            <v>T12 2'x2' Fluorescent, 2-40 Watt U-Tube Lamps, Magnetic Ballast</v>
          </cell>
          <cell r="C29">
            <v>86</v>
          </cell>
          <cell r="D29">
            <v>5550</v>
          </cell>
          <cell r="E29" t="str">
            <v>T8 High Performance</v>
          </cell>
          <cell r="F29">
            <v>20000</v>
          </cell>
          <cell r="G29">
            <v>4.8</v>
          </cell>
          <cell r="H29">
            <v>0.09</v>
          </cell>
        </row>
        <row r="30">
          <cell r="B30" t="str">
            <v>T12 4' Fluorescent, 1-56 Watt HO Lamp, Magnetic Ballast</v>
          </cell>
          <cell r="C30">
            <v>66</v>
          </cell>
          <cell r="D30">
            <v>4000</v>
          </cell>
          <cell r="E30" t="str">
            <v>T8 High Performance</v>
          </cell>
          <cell r="F30">
            <v>12000</v>
          </cell>
          <cell r="G30">
            <v>4.28</v>
          </cell>
          <cell r="H30">
            <v>0.09</v>
          </cell>
        </row>
        <row r="31">
          <cell r="B31" t="str">
            <v>T12 4' Fluorescent, 2-56 Watt HO Lamps, Magnetic Ballast</v>
          </cell>
          <cell r="C31">
            <v>132</v>
          </cell>
          <cell r="D31">
            <v>8000</v>
          </cell>
          <cell r="E31" t="str">
            <v>T8 High Performance</v>
          </cell>
          <cell r="F31">
            <v>12000</v>
          </cell>
          <cell r="G31">
            <v>4.28</v>
          </cell>
          <cell r="H31">
            <v>0.09</v>
          </cell>
        </row>
        <row r="32">
          <cell r="B32" t="str">
            <v>T12 4' Fluorescent, 3-56 Watt HO Lamps, Magnetic Ballast</v>
          </cell>
          <cell r="C32">
            <v>198</v>
          </cell>
          <cell r="D32">
            <v>12000</v>
          </cell>
          <cell r="E32" t="str">
            <v>T8 High Performance</v>
          </cell>
          <cell r="F32">
            <v>12000</v>
          </cell>
          <cell r="G32">
            <v>4.28</v>
          </cell>
          <cell r="H32">
            <v>0.09</v>
          </cell>
        </row>
        <row r="33">
          <cell r="B33" t="str">
            <v>----------------------------</v>
          </cell>
        </row>
        <row r="34">
          <cell r="B34" t="str">
            <v>T12 4' Fluorescent, 1-34 Watt ES Lamp, Energy Efficient Ballast</v>
          </cell>
          <cell r="C34">
            <v>43</v>
          </cell>
          <cell r="D34">
            <v>1890.51</v>
          </cell>
          <cell r="E34" t="str">
            <v>T8 High Performance</v>
          </cell>
          <cell r="F34">
            <v>20000</v>
          </cell>
          <cell r="G34">
            <v>1.1200000000000001</v>
          </cell>
          <cell r="H34">
            <v>0.09</v>
          </cell>
        </row>
        <row r="35">
          <cell r="B35" t="str">
            <v>T12 4' Fluorescent, 1-40 Watt Lamp, Energy Efficient Ballast</v>
          </cell>
          <cell r="C35">
            <v>46</v>
          </cell>
          <cell r="D35">
            <v>2433.9</v>
          </cell>
          <cell r="E35" t="str">
            <v>T8 High Performance</v>
          </cell>
          <cell r="F35">
            <v>20000</v>
          </cell>
          <cell r="G35">
            <v>1.1200000000000001</v>
          </cell>
          <cell r="H35">
            <v>0.09</v>
          </cell>
        </row>
        <row r="36">
          <cell r="B36" t="str">
            <v>T12 4' Fluorescent, 1-34 Watt ES Lamp, Magnetic Ballast</v>
          </cell>
          <cell r="C36">
            <v>48</v>
          </cell>
          <cell r="D36">
            <v>1933.97</v>
          </cell>
          <cell r="E36" t="str">
            <v>T8 High Performance</v>
          </cell>
          <cell r="F36">
            <v>20000</v>
          </cell>
          <cell r="G36">
            <v>1.1200000000000001</v>
          </cell>
          <cell r="H36">
            <v>0.09</v>
          </cell>
        </row>
        <row r="37">
          <cell r="B37" t="str">
            <v>T12 4' Fluorescent, 1-40 Watt Lamp, Magnetic Ballast</v>
          </cell>
          <cell r="C37">
            <v>52</v>
          </cell>
          <cell r="D37">
            <v>2433.9</v>
          </cell>
          <cell r="E37" t="str">
            <v>T8 High Performance</v>
          </cell>
          <cell r="F37">
            <v>20000</v>
          </cell>
          <cell r="G37">
            <v>1.1200000000000001</v>
          </cell>
          <cell r="H37">
            <v>0.09</v>
          </cell>
        </row>
        <row r="38">
          <cell r="B38" t="str">
            <v>----------------------------</v>
          </cell>
        </row>
        <row r="39">
          <cell r="B39" t="str">
            <v>T12 4' Fluorescent, 2-34 Watt ES Lamps, Energy Efficient Ballast</v>
          </cell>
          <cell r="C39">
            <v>72</v>
          </cell>
          <cell r="D39">
            <v>3781.02</v>
          </cell>
          <cell r="E39" t="str">
            <v>T8 High Performance</v>
          </cell>
          <cell r="F39">
            <v>20000</v>
          </cell>
          <cell r="G39">
            <v>1.1200000000000001</v>
          </cell>
          <cell r="H39">
            <v>0.09</v>
          </cell>
        </row>
        <row r="40">
          <cell r="B40" t="str">
            <v>T12 4' Fluorescent, 2-34 Watt ES Lamps, Magnetic Ballast</v>
          </cell>
          <cell r="C40">
            <v>82</v>
          </cell>
          <cell r="D40">
            <v>3867.94</v>
          </cell>
          <cell r="E40" t="str">
            <v>T8 High Performance</v>
          </cell>
          <cell r="F40">
            <v>20000</v>
          </cell>
          <cell r="G40">
            <v>1.1200000000000001</v>
          </cell>
          <cell r="H40">
            <v>0.09</v>
          </cell>
        </row>
        <row r="41">
          <cell r="B41" t="str">
            <v>T12 4' Fluorescent, 2-40 Watt Lamps, Energy Efficient Ballast</v>
          </cell>
          <cell r="C41">
            <v>88</v>
          </cell>
          <cell r="D41">
            <v>4867.8</v>
          </cell>
          <cell r="E41" t="str">
            <v>T8 High Performance</v>
          </cell>
          <cell r="F41">
            <v>20000</v>
          </cell>
          <cell r="G41">
            <v>1.1200000000000001</v>
          </cell>
          <cell r="H41">
            <v>0.09</v>
          </cell>
        </row>
        <row r="42">
          <cell r="B42" t="str">
            <v>T12 4' Fluorescent, 2-40 Watt Lamps, Magnetic Ballast</v>
          </cell>
          <cell r="C42">
            <v>96</v>
          </cell>
          <cell r="D42">
            <v>4867.8</v>
          </cell>
          <cell r="E42" t="str">
            <v>T8 High Performance</v>
          </cell>
          <cell r="F42">
            <v>20000</v>
          </cell>
          <cell r="G42">
            <v>1.1200000000000001</v>
          </cell>
          <cell r="H42">
            <v>0.09</v>
          </cell>
        </row>
        <row r="43">
          <cell r="B43" t="str">
            <v>----------------------------</v>
          </cell>
        </row>
        <row r="44">
          <cell r="B44" t="str">
            <v>T12 4' Fluorescent, 3-34 Watt ES Lamps, Energy Efficient Ballasts</v>
          </cell>
          <cell r="C44">
            <v>116</v>
          </cell>
          <cell r="D44">
            <v>5671.53</v>
          </cell>
          <cell r="E44" t="str">
            <v>T8 High Performance</v>
          </cell>
          <cell r="F44">
            <v>20000</v>
          </cell>
          <cell r="G44">
            <v>1.1200000000000001</v>
          </cell>
          <cell r="H44">
            <v>0.09</v>
          </cell>
        </row>
        <row r="45">
          <cell r="B45" t="str">
            <v>T12 4' Fluorescent, 3-34 Watt ES Lamps, Magnetic Ballasts</v>
          </cell>
          <cell r="C45">
            <v>130</v>
          </cell>
          <cell r="D45">
            <v>5801.91</v>
          </cell>
          <cell r="E45" t="str">
            <v>T8 High Performance</v>
          </cell>
          <cell r="F45">
            <v>20000</v>
          </cell>
          <cell r="G45">
            <v>1.1200000000000001</v>
          </cell>
          <cell r="H45">
            <v>0.09</v>
          </cell>
        </row>
        <row r="46">
          <cell r="B46" t="str">
            <v>T12 4' Fluorescent, 3-40 Watt Lamps, Energy Efficient Ballasts</v>
          </cell>
          <cell r="C46">
            <v>134</v>
          </cell>
          <cell r="D46">
            <v>7301.7</v>
          </cell>
          <cell r="E46" t="str">
            <v>T8 High Performance</v>
          </cell>
          <cell r="F46">
            <v>20000</v>
          </cell>
          <cell r="G46">
            <v>1.1200000000000001</v>
          </cell>
          <cell r="H46">
            <v>0.09</v>
          </cell>
        </row>
        <row r="47">
          <cell r="B47" t="str">
            <v>T12 4' Fluorescent, 3-40 Watt Lamps, Magnetic Ballasts</v>
          </cell>
          <cell r="C47">
            <v>148</v>
          </cell>
          <cell r="D47">
            <v>7301.7</v>
          </cell>
          <cell r="E47" t="str">
            <v>T8 High Performance</v>
          </cell>
          <cell r="F47">
            <v>20000</v>
          </cell>
          <cell r="G47">
            <v>1.1200000000000001</v>
          </cell>
          <cell r="H47">
            <v>0.09</v>
          </cell>
        </row>
        <row r="48">
          <cell r="B48" t="str">
            <v>----------------------------</v>
          </cell>
        </row>
        <row r="49">
          <cell r="B49" t="str">
            <v>T12 4' Fluorescent, 4-34 Watt ES Lamps, Energy Efficient Ballasts</v>
          </cell>
          <cell r="C49">
            <v>144</v>
          </cell>
          <cell r="D49">
            <v>7562.04</v>
          </cell>
          <cell r="E49" t="str">
            <v>T8 High Performance</v>
          </cell>
          <cell r="F49">
            <v>20000</v>
          </cell>
          <cell r="G49">
            <v>1.1200000000000001</v>
          </cell>
          <cell r="H49">
            <v>0.09</v>
          </cell>
        </row>
        <row r="50">
          <cell r="B50" t="str">
            <v>T12 4' Fluorescent, 4-34 Watt ES Lamps, Magnetic Ballasts</v>
          </cell>
          <cell r="C50">
            <v>164</v>
          </cell>
          <cell r="D50">
            <v>7735.88</v>
          </cell>
          <cell r="E50" t="str">
            <v>T8 High Performance</v>
          </cell>
          <cell r="F50">
            <v>20000</v>
          </cell>
          <cell r="G50">
            <v>1.1200000000000001</v>
          </cell>
          <cell r="H50">
            <v>0.09</v>
          </cell>
        </row>
        <row r="51">
          <cell r="B51" t="str">
            <v>T12 4' Fluorescent, 4-40 Watt Lamps, Energy Efficient Ballasts</v>
          </cell>
          <cell r="C51">
            <v>176</v>
          </cell>
          <cell r="D51">
            <v>9735.6</v>
          </cell>
          <cell r="E51" t="str">
            <v>T8 High Performance</v>
          </cell>
          <cell r="F51">
            <v>20000</v>
          </cell>
          <cell r="G51">
            <v>1.1200000000000001</v>
          </cell>
          <cell r="H51">
            <v>0.09</v>
          </cell>
        </row>
        <row r="52">
          <cell r="B52" t="str">
            <v>T12 4' Fluorescent, 4-40 Watt Lamps, Magnetic Ballasts</v>
          </cell>
          <cell r="C52">
            <v>192</v>
          </cell>
          <cell r="D52">
            <v>9735.6</v>
          </cell>
          <cell r="E52" t="str">
            <v>T8 High Performance</v>
          </cell>
          <cell r="F52">
            <v>20000</v>
          </cell>
          <cell r="G52">
            <v>1.1200000000000001</v>
          </cell>
          <cell r="H52">
            <v>0.09</v>
          </cell>
        </row>
        <row r="53">
          <cell r="B53" t="str">
            <v>=================================</v>
          </cell>
        </row>
        <row r="54">
          <cell r="B54" t="str">
            <v>T12 FLUORESCENT (8' LAMPS)</v>
          </cell>
        </row>
        <row r="55">
          <cell r="B55" t="str">
            <v>=================================</v>
          </cell>
        </row>
        <row r="56">
          <cell r="B56" t="str">
            <v>T12 8' Fluorescent, 1-60 Watt Lamp, Magnetic Ballast</v>
          </cell>
          <cell r="C56">
            <v>83</v>
          </cell>
          <cell r="D56">
            <v>4258.6499999999996</v>
          </cell>
          <cell r="E56" t="str">
            <v>T8 High Performance</v>
          </cell>
          <cell r="F56">
            <v>12000</v>
          </cell>
          <cell r="G56">
            <v>6</v>
          </cell>
          <cell r="H56">
            <v>0.09</v>
          </cell>
        </row>
        <row r="57">
          <cell r="B57" t="str">
            <v>T12 8' Fluorescent, 1-75 Watt Lamp, Magnetic Ballast</v>
          </cell>
          <cell r="C57">
            <v>100</v>
          </cell>
          <cell r="D57">
            <v>5145.09</v>
          </cell>
          <cell r="E57" t="str">
            <v>T8 High Performance</v>
          </cell>
          <cell r="F57">
            <v>12000</v>
          </cell>
          <cell r="G57">
            <v>7.02</v>
          </cell>
          <cell r="H57">
            <v>0.09</v>
          </cell>
        </row>
        <row r="58">
          <cell r="B58" t="str">
            <v>T12 8' Fluorescent, 1-95 Watt HO ES Lamp, Magnetic Ballast</v>
          </cell>
          <cell r="C58">
            <v>125</v>
          </cell>
          <cell r="D58">
            <v>5728.8</v>
          </cell>
          <cell r="E58" t="str">
            <v>T8 High Performance</v>
          </cell>
          <cell r="F58">
            <v>12000</v>
          </cell>
          <cell r="G58">
            <v>7.63</v>
          </cell>
          <cell r="H58">
            <v>0.09</v>
          </cell>
        </row>
        <row r="59">
          <cell r="B59" t="str">
            <v>T12 8' Fluorescent, 1-100W HO Lamp, Magnetic Ballast</v>
          </cell>
          <cell r="C59">
            <v>140</v>
          </cell>
          <cell r="D59">
            <v>6715.94</v>
          </cell>
          <cell r="E59" t="str">
            <v>T8 High Performance</v>
          </cell>
          <cell r="F59">
            <v>12000</v>
          </cell>
          <cell r="G59">
            <v>7.02</v>
          </cell>
          <cell r="H59">
            <v>0.09</v>
          </cell>
        </row>
        <row r="60">
          <cell r="B60" t="str">
            <v>T12 8' Fluorescent, 1-185 Watt VHO ES Lamp, Magnetic Ballast</v>
          </cell>
          <cell r="C60">
            <v>200</v>
          </cell>
          <cell r="D60">
            <v>8370</v>
          </cell>
          <cell r="E60" t="str">
            <v>T8 High Performance</v>
          </cell>
          <cell r="F60">
            <v>12000</v>
          </cell>
          <cell r="G60">
            <v>12.58</v>
          </cell>
          <cell r="H60">
            <v>0.09</v>
          </cell>
        </row>
        <row r="61">
          <cell r="B61" t="str">
            <v>T12 8' Fluorescent, 1-215 Watt VHO Lamp, Magnetic Ballast</v>
          </cell>
          <cell r="C61">
            <v>230</v>
          </cell>
          <cell r="D61">
            <v>9525.6</v>
          </cell>
          <cell r="E61" t="str">
            <v>T8 High Performance</v>
          </cell>
          <cell r="F61">
            <v>12000</v>
          </cell>
          <cell r="G61">
            <v>11.58</v>
          </cell>
          <cell r="H61">
            <v>0.09</v>
          </cell>
        </row>
        <row r="62">
          <cell r="B62" t="str">
            <v>----------------------------</v>
          </cell>
        </row>
        <row r="63">
          <cell r="B63" t="str">
            <v>T12 8' Fluorescent, 2-60 Watt ES Lamps, Energy Efficient Ballast</v>
          </cell>
          <cell r="C63">
            <v>123</v>
          </cell>
          <cell r="D63">
            <v>8321.5</v>
          </cell>
          <cell r="E63" t="str">
            <v>T8 High Performance</v>
          </cell>
          <cell r="F63">
            <v>12000</v>
          </cell>
          <cell r="G63">
            <v>6</v>
          </cell>
          <cell r="H63">
            <v>0.09</v>
          </cell>
        </row>
        <row r="64">
          <cell r="B64" t="str">
            <v>T12 8' Fluorescent, 2-60 Watt ES Lamps, Magnetic Ballast</v>
          </cell>
          <cell r="C64">
            <v>138</v>
          </cell>
          <cell r="D64">
            <v>8517.2999999999993</v>
          </cell>
          <cell r="E64" t="str">
            <v>T8 High Performance</v>
          </cell>
          <cell r="F64">
            <v>12000</v>
          </cell>
          <cell r="G64">
            <v>6</v>
          </cell>
          <cell r="H64">
            <v>0.09</v>
          </cell>
        </row>
        <row r="65">
          <cell r="B65" t="str">
            <v>T12 8' Fluorescent, 2-75 Watt Lamps, Energy Efficient Ballast</v>
          </cell>
          <cell r="C65">
            <v>158</v>
          </cell>
          <cell r="D65">
            <v>10180.709999999999</v>
          </cell>
          <cell r="E65" t="str">
            <v>T8 High Performance</v>
          </cell>
          <cell r="F65">
            <v>12000</v>
          </cell>
          <cell r="G65">
            <v>7.02</v>
          </cell>
          <cell r="H65">
            <v>0.09</v>
          </cell>
        </row>
        <row r="66">
          <cell r="B66" t="str">
            <v>T12 8' Fluorescent, 2-75 Watt Lamps, Magnetic Ballast</v>
          </cell>
          <cell r="C66">
            <v>173</v>
          </cell>
          <cell r="D66">
            <v>10290.18</v>
          </cell>
          <cell r="E66" t="str">
            <v>T8 High Performance</v>
          </cell>
          <cell r="F66">
            <v>12000</v>
          </cell>
          <cell r="G66">
            <v>7.02</v>
          </cell>
          <cell r="H66">
            <v>0.09</v>
          </cell>
        </row>
        <row r="67">
          <cell r="B67" t="str">
            <v>T12 8' Fluorescent, 2-95 Watt HO ES Lamps, Magnetic Ballast</v>
          </cell>
          <cell r="C67">
            <v>227</v>
          </cell>
          <cell r="D67">
            <v>11457.6</v>
          </cell>
          <cell r="E67" t="str">
            <v>T8 High Performance</v>
          </cell>
          <cell r="F67">
            <v>12000</v>
          </cell>
          <cell r="G67">
            <v>7.63</v>
          </cell>
          <cell r="H67">
            <v>0.09</v>
          </cell>
        </row>
        <row r="68">
          <cell r="B68" t="str">
            <v>T12 8' Fluorescent, 2-110 Watt HO Lamps, Energy Efficient Ballast</v>
          </cell>
          <cell r="C68">
            <v>237</v>
          </cell>
          <cell r="D68">
            <v>13431.88</v>
          </cell>
          <cell r="E68" t="str">
            <v>T8 High Performance</v>
          </cell>
          <cell r="F68">
            <v>12000</v>
          </cell>
          <cell r="G68">
            <v>7.02</v>
          </cell>
          <cell r="H68">
            <v>0.09</v>
          </cell>
        </row>
        <row r="69">
          <cell r="B69" t="str">
            <v>T12 8' Fluorescent, 2-110 Watt HO Lamps, Magnetic Ballast</v>
          </cell>
          <cell r="C69">
            <v>252</v>
          </cell>
          <cell r="D69">
            <v>13431.88</v>
          </cell>
          <cell r="E69" t="str">
            <v>T8 High Performance</v>
          </cell>
          <cell r="F69">
            <v>12000</v>
          </cell>
          <cell r="G69">
            <v>7.02</v>
          </cell>
          <cell r="H69">
            <v>0.09</v>
          </cell>
        </row>
        <row r="70">
          <cell r="B70" t="str">
            <v>T12 8' Fluorescent, 2-185 Watt VHO ES Lamps, Magnetic Ballast</v>
          </cell>
          <cell r="C70">
            <v>325</v>
          </cell>
          <cell r="D70">
            <v>16740</v>
          </cell>
          <cell r="E70" t="str">
            <v>T8 High Performance</v>
          </cell>
          <cell r="F70">
            <v>12000</v>
          </cell>
          <cell r="G70">
            <v>12.58</v>
          </cell>
          <cell r="H70">
            <v>0.09</v>
          </cell>
        </row>
        <row r="71">
          <cell r="B71" t="str">
            <v>T12 8' Fluorescent, 2-215 Watt VHO Lamps, Magnetic Ballast</v>
          </cell>
          <cell r="C71">
            <v>440</v>
          </cell>
          <cell r="D71">
            <v>19051.2</v>
          </cell>
          <cell r="E71" t="str">
            <v>T8 High Performance</v>
          </cell>
          <cell r="F71">
            <v>12000</v>
          </cell>
          <cell r="G71">
            <v>11.58</v>
          </cell>
          <cell r="H71">
            <v>0.09</v>
          </cell>
        </row>
        <row r="72">
          <cell r="B72" t="str">
            <v>----------------------------</v>
          </cell>
        </row>
        <row r="73">
          <cell r="B73" t="str">
            <v>T12 8' Fluorescent, 3-60 Watt ES Lamps, Magnetic Ballasts</v>
          </cell>
          <cell r="C73">
            <v>220</v>
          </cell>
          <cell r="D73">
            <v>12775.95</v>
          </cell>
          <cell r="E73" t="str">
            <v>T8 High Performance</v>
          </cell>
          <cell r="F73">
            <v>12000</v>
          </cell>
          <cell r="G73">
            <v>6</v>
          </cell>
          <cell r="H73">
            <v>0.09</v>
          </cell>
        </row>
        <row r="74">
          <cell r="B74" t="str">
            <v>T12 8' Fluorescent, 3-75 Watt Lamps, Magnetic Ballasts</v>
          </cell>
          <cell r="C74">
            <v>274</v>
          </cell>
          <cell r="D74">
            <v>15435.27</v>
          </cell>
          <cell r="E74" t="str">
            <v>T8 High Performance</v>
          </cell>
          <cell r="F74">
            <v>12000</v>
          </cell>
          <cell r="G74">
            <v>7.02</v>
          </cell>
          <cell r="H74">
            <v>0.09</v>
          </cell>
        </row>
        <row r="75">
          <cell r="B75" t="str">
            <v>T12 8' Fluorescent, 3-95 Watt HO ES Lamps, Magnetic Ballasts</v>
          </cell>
          <cell r="C75">
            <v>352</v>
          </cell>
          <cell r="D75">
            <v>17186.400000000001</v>
          </cell>
          <cell r="E75" t="str">
            <v>T8 High Performance</v>
          </cell>
          <cell r="F75">
            <v>12000</v>
          </cell>
          <cell r="G75">
            <v>7.63</v>
          </cell>
          <cell r="H75">
            <v>0.09</v>
          </cell>
        </row>
        <row r="76">
          <cell r="B76" t="str">
            <v>T12 8' Fluorescent, 3-110 Watt HO Lamps, Energy Efficient Ballasts</v>
          </cell>
          <cell r="C76">
            <v>392</v>
          </cell>
          <cell r="D76">
            <v>20147.82</v>
          </cell>
          <cell r="E76" t="str">
            <v>T8 High Performance</v>
          </cell>
          <cell r="F76">
            <v>12000</v>
          </cell>
          <cell r="G76">
            <v>7.02</v>
          </cell>
          <cell r="H76">
            <v>0.09</v>
          </cell>
        </row>
        <row r="77">
          <cell r="B77" t="str">
            <v>----------------------------</v>
          </cell>
        </row>
        <row r="78">
          <cell r="B78" t="str">
            <v>T12 8' Fluorescent, 4-60 Watt ES Lamps, Energy Efficient Ballast</v>
          </cell>
          <cell r="C78">
            <v>246</v>
          </cell>
          <cell r="D78">
            <v>16643</v>
          </cell>
          <cell r="E78" t="str">
            <v>T8 High Performance</v>
          </cell>
          <cell r="F78">
            <v>12000</v>
          </cell>
          <cell r="G78">
            <v>6</v>
          </cell>
          <cell r="H78">
            <v>0.09</v>
          </cell>
        </row>
        <row r="79">
          <cell r="B79" t="str">
            <v>T12 8' Fluorescent, 4-60 Watt ES Lamps, Magnetic Ballast</v>
          </cell>
          <cell r="C79">
            <v>276</v>
          </cell>
          <cell r="D79">
            <v>17034.599999999999</v>
          </cell>
          <cell r="E79" t="str">
            <v>T8 High Performance</v>
          </cell>
          <cell r="F79">
            <v>12000</v>
          </cell>
          <cell r="G79">
            <v>6</v>
          </cell>
          <cell r="H79">
            <v>0.09</v>
          </cell>
        </row>
        <row r="80">
          <cell r="B80" t="str">
            <v>T12 8' Fluorescent, 4-75 Watt Lamps, Energy Efficient Ballasts</v>
          </cell>
          <cell r="C80">
            <v>316</v>
          </cell>
          <cell r="D80">
            <v>20361.419999999998</v>
          </cell>
          <cell r="E80" t="str">
            <v>T8 High Performance</v>
          </cell>
          <cell r="F80">
            <v>12000</v>
          </cell>
          <cell r="G80">
            <v>7.02</v>
          </cell>
          <cell r="H80">
            <v>0.09</v>
          </cell>
        </row>
        <row r="81">
          <cell r="B81" t="str">
            <v>T12 8' Fluorescent, 4-75 Watt Lamps, Magnetic Ballasts</v>
          </cell>
          <cell r="C81">
            <v>346</v>
          </cell>
          <cell r="D81">
            <v>20580.36</v>
          </cell>
          <cell r="E81" t="str">
            <v>T8 High Performance</v>
          </cell>
          <cell r="F81">
            <v>12000</v>
          </cell>
          <cell r="G81">
            <v>7.02</v>
          </cell>
          <cell r="H81">
            <v>0.09</v>
          </cell>
        </row>
        <row r="82">
          <cell r="B82" t="str">
            <v>T12 8' Fluorescent, 4-95 Watt HO ES Lamps, Energy Efficient Ballasts</v>
          </cell>
          <cell r="C82">
            <v>416</v>
          </cell>
          <cell r="D82">
            <v>22915.200000000001</v>
          </cell>
          <cell r="E82" t="str">
            <v>T8 High Performance</v>
          </cell>
          <cell r="F82">
            <v>12000</v>
          </cell>
          <cell r="G82">
            <v>7.63</v>
          </cell>
          <cell r="H82">
            <v>0.09</v>
          </cell>
        </row>
        <row r="83">
          <cell r="B83" t="str">
            <v>T12 8' Fluorescent, 4-95 Watt HO ES Lamps, Magnetic Ballasts</v>
          </cell>
          <cell r="C83">
            <v>454</v>
          </cell>
          <cell r="D83">
            <v>22915.200000000001</v>
          </cell>
          <cell r="E83" t="str">
            <v>T8 High Performance</v>
          </cell>
          <cell r="F83">
            <v>12000</v>
          </cell>
          <cell r="G83">
            <v>7.02</v>
          </cell>
          <cell r="H83">
            <v>0.09</v>
          </cell>
        </row>
        <row r="84">
          <cell r="B84" t="str">
            <v>T12 8' Fluorescent, 4-110 Watt HO Lamps, Energy Efficient Ballasts</v>
          </cell>
          <cell r="C84">
            <v>474</v>
          </cell>
          <cell r="D84">
            <v>26863.759999999998</v>
          </cell>
          <cell r="E84" t="str">
            <v>T8 High Performance</v>
          </cell>
          <cell r="F84">
            <v>12000</v>
          </cell>
          <cell r="G84">
            <v>7.02</v>
          </cell>
          <cell r="H84">
            <v>0.09</v>
          </cell>
        </row>
        <row r="85">
          <cell r="B85" t="str">
            <v>T12 8' Fluorescent, 4-110 Watt HO Lamps, Magnetic Ballasts</v>
          </cell>
          <cell r="C85">
            <v>504</v>
          </cell>
          <cell r="D85">
            <v>26863.759999999998</v>
          </cell>
          <cell r="E85" t="str">
            <v>T8 High Performance</v>
          </cell>
          <cell r="F85">
            <v>12000</v>
          </cell>
          <cell r="G85">
            <v>7.02</v>
          </cell>
          <cell r="H85">
            <v>0.09</v>
          </cell>
        </row>
        <row r="86">
          <cell r="B86" t="str">
            <v>T12 8' Fluorescent, 4-185 Watt VHO ES Lamps, Magnetic Ballasts</v>
          </cell>
          <cell r="C86">
            <v>650</v>
          </cell>
          <cell r="D86">
            <v>33480</v>
          </cell>
          <cell r="E86" t="str">
            <v>T8 High Performance</v>
          </cell>
          <cell r="F86">
            <v>12000</v>
          </cell>
          <cell r="G86">
            <v>12.58</v>
          </cell>
          <cell r="H86">
            <v>0.09</v>
          </cell>
        </row>
        <row r="87">
          <cell r="B87" t="str">
            <v>T12 8' Fluorescent, 4-215 Watt VHO Lamps, Magnetic Ballasts</v>
          </cell>
          <cell r="C87">
            <v>880</v>
          </cell>
          <cell r="D87">
            <v>38102.400000000001</v>
          </cell>
          <cell r="E87" t="str">
            <v>T8 High Performance</v>
          </cell>
          <cell r="F87">
            <v>12000</v>
          </cell>
          <cell r="G87">
            <v>11.58</v>
          </cell>
          <cell r="H87">
            <v>0.09</v>
          </cell>
        </row>
        <row r="88">
          <cell r="B88" t="str">
            <v>=================================</v>
          </cell>
        </row>
        <row r="89">
          <cell r="B89" t="str">
            <v>T12 FLUORESCENT (OTHER)</v>
          </cell>
        </row>
        <row r="90">
          <cell r="B90" t="str">
            <v>=================================</v>
          </cell>
        </row>
        <row r="91">
          <cell r="B91" t="str">
            <v>T12 Other Fluorescent, 1-20 Watt Lamp, Magnetic Ballast</v>
          </cell>
          <cell r="C91">
            <v>25</v>
          </cell>
          <cell r="D91">
            <v>943.5</v>
          </cell>
          <cell r="E91" t="str">
            <v>T8 High Performance</v>
          </cell>
          <cell r="F91">
            <v>9000</v>
          </cell>
          <cell r="G91">
            <v>2.17</v>
          </cell>
          <cell r="H91">
            <v>0.09</v>
          </cell>
        </row>
        <row r="92">
          <cell r="B92" t="str">
            <v>T12 Other Fluorescent, 1-25 Watt ES Lamp, Magnetic Ballast</v>
          </cell>
          <cell r="C92">
            <v>42</v>
          </cell>
          <cell r="D92">
            <v>1513.53125</v>
          </cell>
          <cell r="E92" t="str">
            <v>T8 High Performance</v>
          </cell>
          <cell r="F92">
            <v>18000</v>
          </cell>
          <cell r="G92">
            <v>3.89</v>
          </cell>
          <cell r="H92">
            <v>0.09</v>
          </cell>
        </row>
        <row r="93">
          <cell r="B93" t="str">
            <v>T12 Other Fluorescent, 1-30 Watt Lamp, Magnetic Ballast</v>
          </cell>
          <cell r="C93">
            <v>46</v>
          </cell>
          <cell r="D93">
            <v>1790.5687500000001</v>
          </cell>
          <cell r="E93" t="str">
            <v>T8 High Performance</v>
          </cell>
          <cell r="F93">
            <v>18000</v>
          </cell>
          <cell r="G93">
            <v>3.29</v>
          </cell>
          <cell r="H93">
            <v>0.09</v>
          </cell>
        </row>
        <row r="94">
          <cell r="B94" t="str">
            <v>T12 Other Fluorescent, 1-40 Watt Lamp, Energy Efficient Ballast</v>
          </cell>
          <cell r="C94">
            <v>48</v>
          </cell>
          <cell r="D94">
            <v>2234.4</v>
          </cell>
          <cell r="E94" t="str">
            <v>T8 High Performance</v>
          </cell>
          <cell r="F94">
            <v>18000</v>
          </cell>
          <cell r="G94">
            <v>5.09</v>
          </cell>
          <cell r="H94">
            <v>0.09</v>
          </cell>
        </row>
        <row r="95">
          <cell r="B95" t="str">
            <v>----------------------------</v>
          </cell>
        </row>
        <row r="96">
          <cell r="B96" t="str">
            <v>T12 Other Fluorescent, 2-20 Watt Lamps, Magnetic Pre-Heat Ballast</v>
          </cell>
          <cell r="C96">
            <v>50</v>
          </cell>
          <cell r="D96">
            <v>1887</v>
          </cell>
          <cell r="E96" t="str">
            <v>T8 High Performance</v>
          </cell>
          <cell r="F96">
            <v>9000</v>
          </cell>
          <cell r="G96">
            <v>2.17</v>
          </cell>
          <cell r="H96">
            <v>0.09</v>
          </cell>
        </row>
        <row r="97">
          <cell r="B97" t="str">
            <v>T12 Other Fluorescent, 2-25 Watt ES Lamps, Energy Efficient Ballast</v>
          </cell>
          <cell r="C97">
            <v>66</v>
          </cell>
          <cell r="D97">
            <v>3027.0625</v>
          </cell>
          <cell r="E97" t="str">
            <v>T8 High Performance</v>
          </cell>
          <cell r="F97">
            <v>18000</v>
          </cell>
          <cell r="G97">
            <v>3.89</v>
          </cell>
          <cell r="H97">
            <v>0.09</v>
          </cell>
        </row>
        <row r="98">
          <cell r="B98" t="str">
            <v>T12 Other Fluorescent, 2-30 Watt Lamps, Magnetic Pre-Heat Ballast</v>
          </cell>
          <cell r="C98">
            <v>74</v>
          </cell>
          <cell r="D98">
            <v>3581.1375000000003</v>
          </cell>
          <cell r="E98" t="str">
            <v>T8 High Performance</v>
          </cell>
          <cell r="F98">
            <v>18000</v>
          </cell>
          <cell r="G98">
            <v>3.29</v>
          </cell>
          <cell r="H98">
            <v>0.09</v>
          </cell>
        </row>
        <row r="99">
          <cell r="B99" t="str">
            <v>T12 Other Fluorescent, 2-25 Watt ES Lamps, Magnetic Ballast</v>
          </cell>
          <cell r="C99">
            <v>74</v>
          </cell>
          <cell r="D99">
            <v>3027.0625</v>
          </cell>
          <cell r="E99" t="str">
            <v>T8 High Performance</v>
          </cell>
          <cell r="F99">
            <v>18000</v>
          </cell>
          <cell r="G99">
            <v>3.89</v>
          </cell>
          <cell r="H99">
            <v>0.09</v>
          </cell>
        </row>
        <row r="100">
          <cell r="B100" t="str">
            <v>T12 Other Fluorescent, 2- 30 Watt Lamps, Magnetic Ballast</v>
          </cell>
          <cell r="C100">
            <v>79</v>
          </cell>
          <cell r="D100">
            <v>3334.1625000000004</v>
          </cell>
          <cell r="E100" t="str">
            <v>T8 High Performance</v>
          </cell>
          <cell r="F100">
            <v>18000</v>
          </cell>
          <cell r="G100">
            <v>3.29</v>
          </cell>
          <cell r="H100">
            <v>0.09</v>
          </cell>
        </row>
        <row r="101">
          <cell r="B101" t="str">
            <v>T12 Other Fluorescent, 2-40 Watt Lamps, Energy Efficient Ballast</v>
          </cell>
          <cell r="C101">
            <v>86</v>
          </cell>
          <cell r="D101">
            <v>4468.8</v>
          </cell>
          <cell r="E101" t="str">
            <v>T8 High Performance</v>
          </cell>
          <cell r="F101">
            <v>18000</v>
          </cell>
          <cell r="G101">
            <v>5.09</v>
          </cell>
          <cell r="H101">
            <v>0.09</v>
          </cell>
        </row>
        <row r="102">
          <cell r="B102" t="str">
            <v>----------------------------</v>
          </cell>
          <cell r="C102" t="str">
            <v xml:space="preserve"> </v>
          </cell>
        </row>
        <row r="103">
          <cell r="B103" t="str">
            <v>T12 5' Fluorescent, 1-75 Watt HO Lamp, Magnetic Ballast</v>
          </cell>
          <cell r="C103">
            <v>90</v>
          </cell>
          <cell r="D103">
            <v>4212</v>
          </cell>
          <cell r="E103" t="str">
            <v>T8 High Performance</v>
          </cell>
        </row>
        <row r="104">
          <cell r="B104" t="str">
            <v>T12 5' Fluorescent, 2-75 Watt HO Lamps, Magnetic Ballast</v>
          </cell>
          <cell r="C104">
            <v>180</v>
          </cell>
          <cell r="D104">
            <v>8424</v>
          </cell>
          <cell r="E104" t="str">
            <v>T8 High Performance</v>
          </cell>
        </row>
        <row r="105">
          <cell r="B105" t="str">
            <v>T12 6' Fluorescent, 1-85 Watt HO Lamp, Magnetic Ballast</v>
          </cell>
          <cell r="C105">
            <v>102</v>
          </cell>
          <cell r="D105">
            <v>5063</v>
          </cell>
          <cell r="E105" t="str">
            <v>T8 High Performance</v>
          </cell>
          <cell r="F105">
            <v>12000</v>
          </cell>
          <cell r="G105">
            <v>4.28</v>
          </cell>
          <cell r="H105">
            <v>0.09</v>
          </cell>
        </row>
        <row r="106">
          <cell r="B106" t="str">
            <v>T12 6' Fluorescent, 2-85 Watt HO Lamps, Magnetic Ballast</v>
          </cell>
          <cell r="C106">
            <v>204</v>
          </cell>
          <cell r="D106">
            <v>10126</v>
          </cell>
          <cell r="E106" t="str">
            <v>T8 High Performance</v>
          </cell>
        </row>
        <row r="107">
          <cell r="B107" t="str">
            <v>=================================</v>
          </cell>
        </row>
        <row r="108">
          <cell r="B108" t="str">
            <v>METAL HALIDE</v>
          </cell>
        </row>
        <row r="109">
          <cell r="B109" t="str">
            <v>=================================</v>
          </cell>
        </row>
        <row r="110">
          <cell r="B110" t="str">
            <v>Metal Halide, 50 Watt Lamp</v>
          </cell>
          <cell r="C110">
            <v>62</v>
          </cell>
          <cell r="D110">
            <v>2006</v>
          </cell>
          <cell r="E110" t="str">
            <v>Hard-Wired CFL, 1-32 Watt Lamp (new fixture)</v>
          </cell>
          <cell r="F110">
            <v>10000</v>
          </cell>
          <cell r="G110">
            <v>23.01</v>
          </cell>
          <cell r="H110">
            <v>0.4</v>
          </cell>
        </row>
        <row r="111">
          <cell r="B111" t="str">
            <v>Metal Halide, 70 Watt Lamp</v>
          </cell>
          <cell r="C111">
            <v>90</v>
          </cell>
          <cell r="D111">
            <v>2950</v>
          </cell>
          <cell r="E111" t="str">
            <v>Hard-Wired CFL,  2-26 Watt Lamps (new fixture)</v>
          </cell>
          <cell r="F111">
            <v>10000</v>
          </cell>
          <cell r="G111">
            <v>23.01</v>
          </cell>
          <cell r="H111">
            <v>0.4</v>
          </cell>
        </row>
        <row r="112">
          <cell r="B112" t="str">
            <v>Metal Halide, 100 Watt Lamp</v>
          </cell>
          <cell r="C112">
            <v>129</v>
          </cell>
          <cell r="D112">
            <v>5440</v>
          </cell>
          <cell r="E112" t="str">
            <v>Hard-Wired CFL,  2-42 Watt Lamps (new fixture)</v>
          </cell>
          <cell r="F112">
            <v>10000</v>
          </cell>
          <cell r="G112">
            <v>18.399999999999999</v>
          </cell>
          <cell r="H112">
            <v>0.4</v>
          </cell>
        </row>
        <row r="113">
          <cell r="B113" t="str">
            <v>Metal Halide, 150 Watt Lamp</v>
          </cell>
          <cell r="C113">
            <v>185</v>
          </cell>
          <cell r="D113">
            <v>8640</v>
          </cell>
          <cell r="E113" t="str">
            <v>Hard-Wired CFL, 4-26 Watt Lamps (new fixture)</v>
          </cell>
          <cell r="F113">
            <v>10000</v>
          </cell>
          <cell r="G113">
            <v>18.399999999999999</v>
          </cell>
          <cell r="H113">
            <v>0.4</v>
          </cell>
        </row>
        <row r="114">
          <cell r="B114" t="str">
            <v>Metal Halide, 175 Watt Lamp</v>
          </cell>
          <cell r="C114">
            <v>210</v>
          </cell>
          <cell r="D114">
            <v>9400</v>
          </cell>
          <cell r="E114" t="str">
            <v>2 Lamp T5 High Output (high bay) New Fixture</v>
          </cell>
          <cell r="F114">
            <v>10000</v>
          </cell>
          <cell r="G114">
            <v>18.399999999999999</v>
          </cell>
          <cell r="H114">
            <v>0.4</v>
          </cell>
        </row>
        <row r="115">
          <cell r="B115" t="str">
            <v>Metal Halide, 250 Watt Lamp</v>
          </cell>
          <cell r="C115">
            <v>295</v>
          </cell>
          <cell r="D115">
            <v>11300</v>
          </cell>
          <cell r="E115" t="str">
            <v>3 Lamp T5 High Output (high bay) New Fixture</v>
          </cell>
          <cell r="F115">
            <v>10000</v>
          </cell>
          <cell r="G115">
            <v>18.399999999999999</v>
          </cell>
          <cell r="H115">
            <v>0.4</v>
          </cell>
        </row>
        <row r="116">
          <cell r="B116" t="str">
            <v>Metal Halide, 320 Watt Lamp</v>
          </cell>
          <cell r="C116">
            <v>378</v>
          </cell>
          <cell r="D116">
            <v>14464</v>
          </cell>
          <cell r="E116" t="str">
            <v>3 Lamp T5 High Output (high bay) New Fixture</v>
          </cell>
        </row>
        <row r="117">
          <cell r="B117" t="str">
            <v>Metal Halide, 400 Watt Lamp</v>
          </cell>
          <cell r="C117">
            <v>458</v>
          </cell>
          <cell r="D117">
            <v>26000</v>
          </cell>
          <cell r="E117" t="str">
            <v>4 Lamp T5 High Output (high bay) New Fixture</v>
          </cell>
          <cell r="F117">
            <v>10000</v>
          </cell>
          <cell r="G117">
            <v>18.399999999999999</v>
          </cell>
          <cell r="H117">
            <v>0.4</v>
          </cell>
        </row>
        <row r="118">
          <cell r="B118" t="str">
            <v>Metal Halide, 1000 Watt Lamp</v>
          </cell>
          <cell r="C118">
            <v>1080</v>
          </cell>
          <cell r="D118">
            <v>78000</v>
          </cell>
          <cell r="E118" t="str">
            <v>Metal Halide Pulse Start, 750 Watt</v>
          </cell>
          <cell r="F118">
            <v>10000</v>
          </cell>
          <cell r="G118">
            <v>41.41</v>
          </cell>
          <cell r="H118">
            <v>0.4</v>
          </cell>
        </row>
        <row r="119">
          <cell r="B119" t="str">
            <v>Metal Halide, 1500 Watt Lamp</v>
          </cell>
          <cell r="C119">
            <v>1605</v>
          </cell>
          <cell r="D119">
            <v>132000</v>
          </cell>
          <cell r="E119" t="str">
            <v>Metal Halide Pulse Start, 1000 Watt</v>
          </cell>
          <cell r="F119">
            <v>10000</v>
          </cell>
          <cell r="G119">
            <v>47.41</v>
          </cell>
          <cell r="H119">
            <v>0.4</v>
          </cell>
        </row>
        <row r="120">
          <cell r="B120" t="str">
            <v>=================================</v>
          </cell>
        </row>
        <row r="121">
          <cell r="B121" t="str">
            <v>INCANDESCENT</v>
          </cell>
        </row>
        <row r="122">
          <cell r="B122" t="str">
            <v>=================================</v>
          </cell>
        </row>
        <row r="123">
          <cell r="B123" t="str">
            <v>Incandescent, 1-15 Watt Typical Bulb</v>
          </cell>
          <cell r="C123">
            <v>15</v>
          </cell>
          <cell r="D123">
            <v>95.45</v>
          </cell>
          <cell r="E123" t="str">
            <v>Screw-In CFL, 5 Watt</v>
          </cell>
          <cell r="F123">
            <v>1500</v>
          </cell>
          <cell r="G123">
            <v>0.67</v>
          </cell>
          <cell r="H123">
            <v>0.05</v>
          </cell>
        </row>
        <row r="124">
          <cell r="B124" t="str">
            <v>Incandescent, 1-25 Watt Typical Bulb</v>
          </cell>
          <cell r="C124">
            <v>25</v>
          </cell>
          <cell r="D124">
            <v>169.85</v>
          </cell>
          <cell r="E124" t="str">
            <v>Screw-In CFL, 7 Watt</v>
          </cell>
          <cell r="F124">
            <v>1500</v>
          </cell>
          <cell r="G124">
            <v>0.67</v>
          </cell>
          <cell r="H124">
            <v>0.05</v>
          </cell>
        </row>
        <row r="125">
          <cell r="B125" t="str">
            <v>Incandescent, 1-40 Watt Typical Bulb</v>
          </cell>
          <cell r="C125">
            <v>40</v>
          </cell>
          <cell r="D125">
            <v>402.5</v>
          </cell>
          <cell r="E125" t="str">
            <v>Screw-In CFL, 9 Watt</v>
          </cell>
          <cell r="F125">
            <v>1500</v>
          </cell>
          <cell r="G125">
            <v>0.67</v>
          </cell>
          <cell r="H125">
            <v>0.05</v>
          </cell>
        </row>
        <row r="126">
          <cell r="B126" t="str">
            <v>Incandescent, 1-50 Watt Typical Bulb</v>
          </cell>
          <cell r="C126">
            <v>50</v>
          </cell>
          <cell r="D126">
            <v>428.75</v>
          </cell>
          <cell r="E126" t="str">
            <v>Screw-In CFL, 13 Watt</v>
          </cell>
          <cell r="F126">
            <v>1200</v>
          </cell>
          <cell r="G126">
            <v>0.67</v>
          </cell>
          <cell r="H126">
            <v>0.05</v>
          </cell>
        </row>
        <row r="127">
          <cell r="B127" t="str">
            <v>Incandescent, 1-60 Watt Typical Bulb</v>
          </cell>
          <cell r="C127">
            <v>60</v>
          </cell>
          <cell r="D127">
            <v>799.8</v>
          </cell>
          <cell r="E127" t="str">
            <v>Screw-In CFL, 15 Watt</v>
          </cell>
          <cell r="F127">
            <v>1200</v>
          </cell>
          <cell r="G127">
            <v>0.52</v>
          </cell>
          <cell r="H127">
            <v>0.05</v>
          </cell>
        </row>
        <row r="128">
          <cell r="B128" t="str">
            <v>Incandescent, 1-75 Watt Typical Bulb</v>
          </cell>
          <cell r="C128">
            <v>75</v>
          </cell>
          <cell r="D128">
            <v>1085.5999999999999</v>
          </cell>
          <cell r="E128" t="str">
            <v>Screw-In CFL, 20 Watt</v>
          </cell>
          <cell r="F128">
            <v>1200</v>
          </cell>
          <cell r="G128">
            <v>0.52</v>
          </cell>
          <cell r="H128">
            <v>0.05</v>
          </cell>
        </row>
        <row r="129">
          <cell r="B129" t="str">
            <v>Incandescent, 1-100 Watt Typical Bulb</v>
          </cell>
          <cell r="C129">
            <v>100</v>
          </cell>
          <cell r="D129">
            <v>1548</v>
          </cell>
          <cell r="E129" t="str">
            <v>Screw-In CFL, 26 Watt</v>
          </cell>
          <cell r="F129">
            <v>1000</v>
          </cell>
          <cell r="G129">
            <v>0.52</v>
          </cell>
          <cell r="H129">
            <v>0.05</v>
          </cell>
        </row>
        <row r="130">
          <cell r="B130" t="str">
            <v>Incandescent, 1-150 Watt Typical Bulb</v>
          </cell>
          <cell r="C130">
            <v>150</v>
          </cell>
          <cell r="D130">
            <v>2536.5</v>
          </cell>
          <cell r="E130" t="str">
            <v>Screw-In CFL, 42 Watt</v>
          </cell>
          <cell r="F130">
            <v>1000</v>
          </cell>
          <cell r="G130">
            <v>0.52</v>
          </cell>
          <cell r="H130">
            <v>0.05</v>
          </cell>
        </row>
        <row r="131">
          <cell r="B131" t="str">
            <v>----------------------------</v>
          </cell>
        </row>
        <row r="132">
          <cell r="B132" t="str">
            <v>Incandescent, 2-15 Watt Typical Bulbs</v>
          </cell>
          <cell r="C132">
            <v>30</v>
          </cell>
          <cell r="D132">
            <v>190.9</v>
          </cell>
          <cell r="E132" t="str">
            <v>Screw-In CFL, 2-5 Watt</v>
          </cell>
          <cell r="F132">
            <v>1500</v>
          </cell>
          <cell r="G132">
            <v>0.67</v>
          </cell>
          <cell r="H132">
            <v>0.05</v>
          </cell>
        </row>
        <row r="133">
          <cell r="B133" t="str">
            <v>Incandescent, 2-25 Watt Typical Bulbs</v>
          </cell>
          <cell r="C133">
            <v>50</v>
          </cell>
          <cell r="D133">
            <v>339.7</v>
          </cell>
          <cell r="E133" t="str">
            <v>Screw-In CFL, 2-7 Watt</v>
          </cell>
          <cell r="F133">
            <v>1500</v>
          </cell>
          <cell r="G133">
            <v>0.67</v>
          </cell>
          <cell r="H133">
            <v>0.05</v>
          </cell>
        </row>
        <row r="134">
          <cell r="B134" t="str">
            <v>Incandescent, 2-40 Watt Typical Bulbs</v>
          </cell>
          <cell r="C134">
            <v>80</v>
          </cell>
          <cell r="D134">
            <v>805</v>
          </cell>
          <cell r="E134" t="str">
            <v>Screw-In CFL, 2-9 Watt</v>
          </cell>
          <cell r="F134">
            <v>1500</v>
          </cell>
          <cell r="G134">
            <v>0.67</v>
          </cell>
          <cell r="H134">
            <v>0.05</v>
          </cell>
        </row>
        <row r="135">
          <cell r="B135" t="str">
            <v>Incandescent, 2-50 Watt Typical Bulbs</v>
          </cell>
          <cell r="C135">
            <v>100</v>
          </cell>
          <cell r="D135">
            <v>857.5</v>
          </cell>
          <cell r="E135" t="str">
            <v>Screw-In CFL, 2-13 Watt</v>
          </cell>
          <cell r="F135">
            <v>1200</v>
          </cell>
          <cell r="G135">
            <v>0.67</v>
          </cell>
          <cell r="H135">
            <v>0.05</v>
          </cell>
        </row>
        <row r="136">
          <cell r="B136" t="str">
            <v>Incandescent, 2-60 Watt Typical Bulbs</v>
          </cell>
          <cell r="C136">
            <v>120</v>
          </cell>
          <cell r="D136">
            <v>1599.6</v>
          </cell>
          <cell r="E136" t="str">
            <v>Screw-In CFL, 2-15 Watt</v>
          </cell>
          <cell r="F136">
            <v>1200</v>
          </cell>
          <cell r="G136">
            <v>0.52</v>
          </cell>
          <cell r="H136">
            <v>0.05</v>
          </cell>
        </row>
        <row r="137">
          <cell r="B137" t="str">
            <v>Incandescent, 2-75 Watt Typical Bulbs</v>
          </cell>
          <cell r="C137">
            <v>150</v>
          </cell>
          <cell r="D137">
            <v>2171.1999999999998</v>
          </cell>
          <cell r="E137" t="str">
            <v>Screw-In CFL, 2-20 Watt</v>
          </cell>
          <cell r="F137">
            <v>1200</v>
          </cell>
          <cell r="G137">
            <v>0.52</v>
          </cell>
          <cell r="H137">
            <v>0.05</v>
          </cell>
        </row>
        <row r="138">
          <cell r="B138" t="str">
            <v>Incandescent, 2-100 Watt Typical Bulbs</v>
          </cell>
          <cell r="C138">
            <v>200</v>
          </cell>
          <cell r="D138">
            <v>3096</v>
          </cell>
          <cell r="E138" t="str">
            <v>Screw-In CFL, 2-26 Watt</v>
          </cell>
          <cell r="F138">
            <v>1000</v>
          </cell>
          <cell r="G138">
            <v>0.52</v>
          </cell>
          <cell r="H138">
            <v>0.05</v>
          </cell>
        </row>
        <row r="139">
          <cell r="B139" t="str">
            <v>Incandescent, 2-150 Watt Typical Bulbs</v>
          </cell>
          <cell r="C139">
            <v>300</v>
          </cell>
          <cell r="D139">
            <v>5073</v>
          </cell>
          <cell r="E139" t="str">
            <v>Screw-In CFL, 2-42 Watt</v>
          </cell>
          <cell r="F139">
            <v>1000</v>
          </cell>
          <cell r="G139">
            <v>0.52</v>
          </cell>
          <cell r="H139">
            <v>0.05</v>
          </cell>
        </row>
        <row r="140">
          <cell r="B140" t="str">
            <v>----------------------------</v>
          </cell>
        </row>
        <row r="141">
          <cell r="B141" t="str">
            <v>Incandescent, 4-40 Watt Typical Bulbs</v>
          </cell>
          <cell r="C141">
            <v>160</v>
          </cell>
          <cell r="D141">
            <v>1610</v>
          </cell>
          <cell r="E141" t="str">
            <v>Screw-In CFL, 4-9 Watt</v>
          </cell>
          <cell r="F141">
            <v>1500</v>
          </cell>
          <cell r="G141">
            <v>0.67</v>
          </cell>
          <cell r="H141">
            <v>0.05</v>
          </cell>
        </row>
        <row r="142">
          <cell r="B142" t="str">
            <v>Incandescent, 4-60 Watt Typical Bulbs</v>
          </cell>
          <cell r="C142">
            <v>240</v>
          </cell>
          <cell r="D142">
            <v>3199.2</v>
          </cell>
          <cell r="E142" t="str">
            <v>Screw-In CFL, 4-15 Watt</v>
          </cell>
          <cell r="F142">
            <v>1200</v>
          </cell>
          <cell r="G142">
            <v>0.67</v>
          </cell>
          <cell r="H142">
            <v>0.05</v>
          </cell>
        </row>
        <row r="143">
          <cell r="B143" t="str">
            <v>Incandescent, 4-75 Watt Typical Bulbs</v>
          </cell>
          <cell r="C143">
            <v>300</v>
          </cell>
          <cell r="D143">
            <v>4342.3999999999996</v>
          </cell>
          <cell r="E143" t="str">
            <v>Screw-In CFL, 4-20 Watt</v>
          </cell>
          <cell r="F143">
            <v>1200</v>
          </cell>
          <cell r="G143">
            <v>0.52</v>
          </cell>
          <cell r="H143">
            <v>0.05</v>
          </cell>
        </row>
        <row r="144">
          <cell r="B144" t="str">
            <v>Incandescent, 4-100 Watt Typical Bulbs</v>
          </cell>
          <cell r="C144">
            <v>400</v>
          </cell>
          <cell r="D144">
            <v>6192</v>
          </cell>
          <cell r="E144" t="str">
            <v>Screw-In CFL, 4-26 Watt</v>
          </cell>
          <cell r="F144">
            <v>1200</v>
          </cell>
          <cell r="G144">
            <v>0.52</v>
          </cell>
          <cell r="H144">
            <v>0.05</v>
          </cell>
        </row>
        <row r="145">
          <cell r="B145" t="str">
            <v>----------------------------</v>
          </cell>
        </row>
        <row r="146">
          <cell r="B146" t="str">
            <v>Incandescent, 1-65 Watt PAR Lamp</v>
          </cell>
          <cell r="C146">
            <v>65</v>
          </cell>
          <cell r="D146">
            <v>607.5</v>
          </cell>
          <cell r="E146" t="str">
            <v>New LED Downlight (recessed can, LR6 or equivalent)</v>
          </cell>
          <cell r="F146">
            <v>2000</v>
          </cell>
          <cell r="G146">
            <v>4</v>
          </cell>
          <cell r="H146">
            <v>0.09</v>
          </cell>
        </row>
        <row r="147">
          <cell r="B147" t="str">
            <v>Incandescent, 75 Watt Reflector Lamp</v>
          </cell>
          <cell r="C147">
            <v>75</v>
          </cell>
          <cell r="D147">
            <v>801</v>
          </cell>
          <cell r="E147" t="str">
            <v>New LED Downlight (recessed can, LR6 or equivalent)</v>
          </cell>
          <cell r="F147">
            <v>2000</v>
          </cell>
          <cell r="G147">
            <v>7</v>
          </cell>
          <cell r="H147">
            <v>0.09</v>
          </cell>
        </row>
        <row r="148">
          <cell r="B148" t="str">
            <v>Incandescent, 90 Watt  Reflector Lamp</v>
          </cell>
          <cell r="C148">
            <v>90</v>
          </cell>
          <cell r="D148">
            <v>1071</v>
          </cell>
          <cell r="E148" t="str">
            <v>Screw-in Ceramic Metal Halide (self-ballasted)</v>
          </cell>
          <cell r="F148">
            <v>2000</v>
          </cell>
          <cell r="G148">
            <v>7</v>
          </cell>
          <cell r="H148">
            <v>0.09</v>
          </cell>
        </row>
        <row r="149">
          <cell r="B149" t="str">
            <v>Incandescent, 100 Watt Reflector Lamp</v>
          </cell>
          <cell r="C149">
            <v>100</v>
          </cell>
          <cell r="D149">
            <v>1071</v>
          </cell>
          <cell r="E149" t="str">
            <v>Screw-in Ceramic Metal Halide (self-ballasted)</v>
          </cell>
          <cell r="F149">
            <v>2000</v>
          </cell>
          <cell r="G149">
            <v>7</v>
          </cell>
          <cell r="H149">
            <v>0.09</v>
          </cell>
        </row>
        <row r="150">
          <cell r="B150" t="str">
            <v>Incandescent, 120 Watt Reflector Lamp</v>
          </cell>
          <cell r="C150">
            <v>120</v>
          </cell>
          <cell r="D150">
            <v>1440</v>
          </cell>
          <cell r="E150" t="str">
            <v>Ceramic Metal Halide, 1-39 Watt PAR Lamp</v>
          </cell>
          <cell r="F150">
            <v>2000</v>
          </cell>
          <cell r="G150">
            <v>7</v>
          </cell>
          <cell r="H150">
            <v>0.09</v>
          </cell>
        </row>
        <row r="151">
          <cell r="B151" t="str">
            <v>Incandescent, 150 Watt Reflector Lamp</v>
          </cell>
          <cell r="C151">
            <v>150</v>
          </cell>
          <cell r="D151">
            <v>1710</v>
          </cell>
          <cell r="E151" t="str">
            <v>Ceramic Metal Halide, 1-39 Watt PAR Lamp</v>
          </cell>
          <cell r="F151">
            <v>2000</v>
          </cell>
          <cell r="G151">
            <v>7</v>
          </cell>
          <cell r="H151">
            <v>0.09</v>
          </cell>
        </row>
        <row r="152">
          <cell r="B152" t="str">
            <v>----------------------------</v>
          </cell>
        </row>
        <row r="153">
          <cell r="B153" t="str">
            <v>Incandescent, 1-200 Watt Bulb</v>
          </cell>
          <cell r="C153">
            <v>200</v>
          </cell>
          <cell r="D153">
            <v>3153.5</v>
          </cell>
          <cell r="E153" t="str">
            <v>Screw-In CFL, 42 Watt</v>
          </cell>
          <cell r="F153">
            <v>750</v>
          </cell>
          <cell r="G153">
            <v>4.29</v>
          </cell>
          <cell r="H153">
            <v>0.09</v>
          </cell>
        </row>
        <row r="154">
          <cell r="B154" t="str">
            <v>Incandescent, 1-300 Watt Bulb</v>
          </cell>
          <cell r="C154">
            <v>300</v>
          </cell>
          <cell r="D154">
            <v>4801.5</v>
          </cell>
          <cell r="E154" t="str">
            <v>Screw-In CFL, 85 Watt</v>
          </cell>
          <cell r="F154">
            <v>750</v>
          </cell>
          <cell r="G154">
            <v>4.92</v>
          </cell>
          <cell r="H154">
            <v>0.09</v>
          </cell>
        </row>
        <row r="155">
          <cell r="B155" t="str">
            <v>Incandescent, 1-500 Watt Bulb</v>
          </cell>
          <cell r="C155">
            <v>500</v>
          </cell>
          <cell r="D155">
            <v>8811</v>
          </cell>
          <cell r="E155" t="str">
            <v>T8 High Performance</v>
          </cell>
          <cell r="F155">
            <v>750</v>
          </cell>
          <cell r="G155">
            <v>10.84</v>
          </cell>
          <cell r="H155">
            <v>0.09</v>
          </cell>
        </row>
        <row r="156">
          <cell r="B156" t="str">
            <v>Incandescent, 1-620 Watt Bulb</v>
          </cell>
          <cell r="C156">
            <v>620</v>
          </cell>
          <cell r="D156">
            <v>9350</v>
          </cell>
          <cell r="E156" t="str">
            <v>T8 High Performance</v>
          </cell>
          <cell r="F156">
            <v>750</v>
          </cell>
          <cell r="G156">
            <v>15.36</v>
          </cell>
          <cell r="H156">
            <v>0.09</v>
          </cell>
        </row>
        <row r="157">
          <cell r="B157" t="str">
            <v>=================================</v>
          </cell>
        </row>
        <row r="158">
          <cell r="B158" t="str">
            <v>HALOGEN</v>
          </cell>
        </row>
        <row r="159">
          <cell r="B159" t="str">
            <v>=================================</v>
          </cell>
        </row>
        <row r="160">
          <cell r="B160" t="str">
            <v>MR-16 or MRC-16 Halogen Display Lamps, 20 Watts</v>
          </cell>
          <cell r="C160">
            <v>20</v>
          </cell>
          <cell r="D160">
            <v>240</v>
          </cell>
          <cell r="E160" t="str">
            <v>Screw-in LED</v>
          </cell>
          <cell r="F160" t="str">
            <v>No Default</v>
          </cell>
          <cell r="G160" t="str">
            <v>No Default</v>
          </cell>
          <cell r="H160" t="str">
            <v>No Default</v>
          </cell>
        </row>
        <row r="161">
          <cell r="B161" t="str">
            <v>MR-16 or MRC-16 Halogen Display Lamps, 35 Watts</v>
          </cell>
          <cell r="C161">
            <v>35</v>
          </cell>
          <cell r="D161">
            <v>490</v>
          </cell>
          <cell r="E161" t="str">
            <v>Screw-in LED</v>
          </cell>
          <cell r="F161" t="str">
            <v>No Default</v>
          </cell>
          <cell r="G161" t="str">
            <v>No Default</v>
          </cell>
          <cell r="H161" t="str">
            <v>No Default</v>
          </cell>
        </row>
        <row r="162">
          <cell r="B162" t="str">
            <v>MR-16 or MRC-16 Halogen Display Lamps, 40 Watts</v>
          </cell>
          <cell r="C162">
            <v>40</v>
          </cell>
          <cell r="D162">
            <v>600</v>
          </cell>
          <cell r="E162" t="str">
            <v>Screw-in LED</v>
          </cell>
          <cell r="F162" t="str">
            <v>No Default</v>
          </cell>
          <cell r="G162" t="str">
            <v>No Default</v>
          </cell>
          <cell r="H162" t="str">
            <v>No Default</v>
          </cell>
        </row>
        <row r="163">
          <cell r="B163" t="str">
            <v>MR-16 or MRC-16 Halogen Display Lamps, 50 Watts</v>
          </cell>
          <cell r="C163">
            <v>50</v>
          </cell>
          <cell r="D163">
            <v>790</v>
          </cell>
          <cell r="E163" t="str">
            <v>Screw-in Ceramic Metal Halide (self-ballasted)</v>
          </cell>
          <cell r="F163" t="str">
            <v>No Default</v>
          </cell>
          <cell r="G163" t="str">
            <v>No Default</v>
          </cell>
          <cell r="H163" t="str">
            <v>No Default</v>
          </cell>
        </row>
        <row r="164">
          <cell r="B164" t="str">
            <v>MR-16 or MRC-16 Halogen Display Lamps, 75 Watts</v>
          </cell>
          <cell r="C164">
            <v>75</v>
          </cell>
          <cell r="D164">
            <v>1320</v>
          </cell>
          <cell r="E164" t="str">
            <v>Screw-in Ceramic Metal Halide (self-ballasted)</v>
          </cell>
          <cell r="F164" t="str">
            <v>No Default</v>
          </cell>
          <cell r="G164" t="str">
            <v>No Default</v>
          </cell>
          <cell r="H164" t="str">
            <v>No Default</v>
          </cell>
        </row>
        <row r="165">
          <cell r="B165" t="str">
            <v>----------------------------</v>
          </cell>
        </row>
        <row r="166">
          <cell r="B166" t="str">
            <v>Halogen, 100 Watt</v>
          </cell>
          <cell r="C166">
            <v>100</v>
          </cell>
          <cell r="D166">
            <v>1440</v>
          </cell>
          <cell r="E166" t="str">
            <v>Screw-in Ceramic Metal Halide (self-ballasted)</v>
          </cell>
          <cell r="F166">
            <v>1500</v>
          </cell>
          <cell r="G166">
            <v>5.99</v>
          </cell>
          <cell r="H166">
            <v>0.09</v>
          </cell>
        </row>
        <row r="167">
          <cell r="B167" t="str">
            <v>Halogen, 150 Watt</v>
          </cell>
          <cell r="C167">
            <v>150</v>
          </cell>
          <cell r="D167">
            <v>2160</v>
          </cell>
          <cell r="E167" t="str">
            <v>Ceramic Metal Halide, 1-39 Watt PAR Lamp</v>
          </cell>
          <cell r="F167">
            <v>1500</v>
          </cell>
          <cell r="G167">
            <v>5.99</v>
          </cell>
          <cell r="H167">
            <v>0.09</v>
          </cell>
        </row>
        <row r="168">
          <cell r="B168" t="str">
            <v>Halogen, 250 Watt</v>
          </cell>
          <cell r="C168">
            <v>250</v>
          </cell>
          <cell r="D168">
            <v>3600</v>
          </cell>
          <cell r="E168" t="str">
            <v>Ceramic Metal Halide, 1-70 Watt PAR Lamp</v>
          </cell>
          <cell r="F168">
            <v>1500</v>
          </cell>
          <cell r="G168">
            <v>6.55</v>
          </cell>
          <cell r="H168">
            <v>0.09</v>
          </cell>
        </row>
        <row r="169">
          <cell r="B169" t="str">
            <v>Halogen, 300 Watt</v>
          </cell>
          <cell r="C169">
            <v>300</v>
          </cell>
          <cell r="D169">
            <v>4680</v>
          </cell>
          <cell r="E169" t="str">
            <v>Ceramic Metal Halide, 1-100 Watt PAR Lamp</v>
          </cell>
          <cell r="F169">
            <v>1500</v>
          </cell>
          <cell r="G169">
            <v>7.05</v>
          </cell>
          <cell r="H169">
            <v>0.09</v>
          </cell>
        </row>
        <row r="170">
          <cell r="B170" t="str">
            <v>Halogen, 500 Watt</v>
          </cell>
          <cell r="C170">
            <v>500</v>
          </cell>
          <cell r="D170">
            <v>8550</v>
          </cell>
          <cell r="E170" t="str">
            <v>Ceramic Metal Halide, 1-150 Watt Lamp (single or double end)</v>
          </cell>
          <cell r="F170">
            <v>1500</v>
          </cell>
          <cell r="G170">
            <v>6.98</v>
          </cell>
          <cell r="H170">
            <v>0.09</v>
          </cell>
        </row>
        <row r="171">
          <cell r="B171" t="str">
            <v>Halogen, 750 Watt</v>
          </cell>
          <cell r="C171">
            <v>750</v>
          </cell>
          <cell r="D171">
            <v>13500</v>
          </cell>
          <cell r="E171" t="str">
            <v>Metal Halide Pulse Start, 200 Watt Lamp</v>
          </cell>
          <cell r="F171">
            <v>1500</v>
          </cell>
          <cell r="G171">
            <v>14</v>
          </cell>
          <cell r="H171">
            <v>0.09</v>
          </cell>
        </row>
        <row r="172">
          <cell r="B172" t="str">
            <v>Halogen, 1000 Watt</v>
          </cell>
          <cell r="C172">
            <v>1000</v>
          </cell>
          <cell r="D172">
            <v>18900</v>
          </cell>
          <cell r="E172" t="str">
            <v>Metal Halide Pulse Start, 200 Watt Lamp</v>
          </cell>
          <cell r="F172">
            <v>1500</v>
          </cell>
          <cell r="G172">
            <v>14</v>
          </cell>
          <cell r="H172">
            <v>0.09</v>
          </cell>
        </row>
        <row r="173">
          <cell r="B173" t="str">
            <v>Halogen, 1500 Watt</v>
          </cell>
          <cell r="C173">
            <v>1500</v>
          </cell>
          <cell r="D173">
            <v>29700</v>
          </cell>
          <cell r="E173" t="str">
            <v>Metal Halide Pulse Start, 350 Watt Lamp</v>
          </cell>
          <cell r="F173">
            <v>1500</v>
          </cell>
          <cell r="G173">
            <v>14</v>
          </cell>
          <cell r="H173">
            <v>0.09</v>
          </cell>
        </row>
        <row r="174">
          <cell r="B174" t="str">
            <v>=================================</v>
          </cell>
        </row>
        <row r="175">
          <cell r="B175" t="str">
            <v>HIGH PRESSURE SODIUM</v>
          </cell>
        </row>
        <row r="176">
          <cell r="B176" t="str">
            <v>=================================</v>
          </cell>
        </row>
        <row r="177">
          <cell r="B177" t="str">
            <v>High Pressure Sodium, 35 Watt Lamp</v>
          </cell>
          <cell r="C177">
            <v>45</v>
          </cell>
          <cell r="D177">
            <v>1845</v>
          </cell>
          <cell r="E177" t="str">
            <v>None</v>
          </cell>
          <cell r="F177">
            <v>24000</v>
          </cell>
          <cell r="G177">
            <v>15.72</v>
          </cell>
          <cell r="H177">
            <v>0.4</v>
          </cell>
        </row>
        <row r="178">
          <cell r="B178" t="str">
            <v>High Pressure Sodium, 50 Watt Lamp</v>
          </cell>
          <cell r="C178">
            <v>68</v>
          </cell>
          <cell r="D178">
            <v>3280</v>
          </cell>
          <cell r="E178" t="str">
            <v>None</v>
          </cell>
          <cell r="F178">
            <v>24000</v>
          </cell>
          <cell r="G178">
            <v>15.72</v>
          </cell>
          <cell r="H178">
            <v>0.4</v>
          </cell>
        </row>
        <row r="179">
          <cell r="B179" t="str">
            <v>High Pressure Sodium, 70 Watt Lamp</v>
          </cell>
          <cell r="C179">
            <v>86</v>
          </cell>
          <cell r="D179">
            <v>5166</v>
          </cell>
          <cell r="E179" t="str">
            <v>None</v>
          </cell>
          <cell r="F179">
            <v>24000</v>
          </cell>
          <cell r="G179">
            <v>15.72</v>
          </cell>
          <cell r="H179">
            <v>0.4</v>
          </cell>
        </row>
        <row r="180">
          <cell r="B180" t="str">
            <v>High Pressure Sodium, 100 Watt Lamp</v>
          </cell>
          <cell r="C180">
            <v>120</v>
          </cell>
          <cell r="D180">
            <v>7790</v>
          </cell>
          <cell r="E180" t="str">
            <v>1 Lamp T5 High Output (high bay) New Fixture</v>
          </cell>
          <cell r="F180">
            <v>24000</v>
          </cell>
          <cell r="G180">
            <v>15.72</v>
          </cell>
          <cell r="H180">
            <v>0.4</v>
          </cell>
        </row>
        <row r="181">
          <cell r="B181" t="str">
            <v>High Pressure Sodium, 150 Watt Lamp</v>
          </cell>
          <cell r="C181">
            <v>170</v>
          </cell>
          <cell r="D181">
            <v>13120</v>
          </cell>
          <cell r="E181" t="str">
            <v>1 Lamp T5 High Output (high bay) New Fixture</v>
          </cell>
          <cell r="F181">
            <v>24000</v>
          </cell>
          <cell r="G181">
            <v>15.72</v>
          </cell>
          <cell r="H181">
            <v>0.4</v>
          </cell>
        </row>
        <row r="182">
          <cell r="B182" t="str">
            <v>High Pressure Sodium,  200 Watt Lamp</v>
          </cell>
          <cell r="C182">
            <v>245</v>
          </cell>
          <cell r="D182">
            <v>18040</v>
          </cell>
          <cell r="E182" t="str">
            <v>2 Lamp T5 High Output (high bay) New Fixture</v>
          </cell>
          <cell r="F182">
            <v>24000</v>
          </cell>
          <cell r="G182">
            <v>15.72</v>
          </cell>
          <cell r="H182">
            <v>0.4</v>
          </cell>
        </row>
        <row r="183">
          <cell r="B183" t="str">
            <v>High Pressure Sodium, 250 Watt Lamp</v>
          </cell>
          <cell r="C183">
            <v>295</v>
          </cell>
          <cell r="D183">
            <v>22550</v>
          </cell>
          <cell r="E183" t="str">
            <v>3 Lamp T5 High Output (high bay)  New Fixture with fixture-mounted occupancy sensor (reduce proposed operating hours accordingly)</v>
          </cell>
          <cell r="F183">
            <v>24000</v>
          </cell>
          <cell r="G183">
            <v>15.72</v>
          </cell>
          <cell r="H183">
            <v>0.4</v>
          </cell>
        </row>
        <row r="184">
          <cell r="B184" t="str">
            <v>High Pressure Sodium, 310 Watt Lamp</v>
          </cell>
          <cell r="C184">
            <v>365</v>
          </cell>
          <cell r="D184">
            <v>30340</v>
          </cell>
          <cell r="E184" t="str">
            <v>4 Lamp T5 High Output (high-bay) New Fixture with fixture-mounted occupancy sensor (reduce proposed operating hours accordingly)</v>
          </cell>
          <cell r="F184">
            <v>24000</v>
          </cell>
          <cell r="G184">
            <v>15.72</v>
          </cell>
          <cell r="H184">
            <v>0.4</v>
          </cell>
        </row>
        <row r="185">
          <cell r="B185" t="str">
            <v>High Pressure Sodium, 400 Watt Lamp</v>
          </cell>
          <cell r="C185">
            <v>457</v>
          </cell>
          <cell r="D185">
            <v>41000</v>
          </cell>
          <cell r="E185" t="str">
            <v>6 Lamp T5 High Output (high-bay) New Fixture with fixture-mounted occupancy sensor (reduce proposed operating hours accordingly)</v>
          </cell>
          <cell r="F185">
            <v>24000</v>
          </cell>
          <cell r="G185">
            <v>15.72</v>
          </cell>
          <cell r="H185">
            <v>0.4</v>
          </cell>
        </row>
        <row r="186">
          <cell r="B186" t="str">
            <v>High Pressure Sodium, 1000 Watt Lamp</v>
          </cell>
          <cell r="C186">
            <v>1100</v>
          </cell>
          <cell r="D186">
            <v>114800</v>
          </cell>
          <cell r="E186" t="str">
            <v>12 Lamp T5 High Output (high bay) New Fixture</v>
          </cell>
          <cell r="F186">
            <v>24000</v>
          </cell>
          <cell r="G186">
            <v>47.92</v>
          </cell>
          <cell r="H186">
            <v>0.4</v>
          </cell>
        </row>
        <row r="187">
          <cell r="B187" t="str">
            <v>=================================</v>
          </cell>
        </row>
        <row r="188">
          <cell r="B188" t="str">
            <v>MERCURY VAPOR</v>
          </cell>
        </row>
        <row r="189">
          <cell r="B189" t="str">
            <v>=================================</v>
          </cell>
        </row>
        <row r="190">
          <cell r="B190" t="str">
            <v>Mercury Vapor, 100 Watt Lamp</v>
          </cell>
          <cell r="C190">
            <v>125</v>
          </cell>
          <cell r="D190">
            <v>3400</v>
          </cell>
          <cell r="E190" t="str">
            <v>T8 High Performance</v>
          </cell>
          <cell r="F190">
            <v>24000</v>
          </cell>
          <cell r="G190">
            <v>12.35</v>
          </cell>
          <cell r="H190">
            <v>0.4</v>
          </cell>
        </row>
        <row r="191">
          <cell r="B191" t="str">
            <v>Mercury Vapor, 175 Watt Lamp</v>
          </cell>
          <cell r="C191">
            <v>205</v>
          </cell>
          <cell r="D191">
            <v>7600</v>
          </cell>
          <cell r="E191" t="str">
            <v>T8 High Performance</v>
          </cell>
          <cell r="F191">
            <v>24000</v>
          </cell>
          <cell r="G191">
            <v>12.35</v>
          </cell>
          <cell r="H191">
            <v>0.4</v>
          </cell>
        </row>
        <row r="192">
          <cell r="B192" t="str">
            <v>Mercury Vapor, 250 Watt Lamp</v>
          </cell>
          <cell r="C192">
            <v>285</v>
          </cell>
          <cell r="D192">
            <v>10700</v>
          </cell>
          <cell r="E192" t="str">
            <v>T8 High Performance</v>
          </cell>
          <cell r="F192">
            <v>24000</v>
          </cell>
          <cell r="G192">
            <v>13.85</v>
          </cell>
          <cell r="H192">
            <v>0.4</v>
          </cell>
        </row>
        <row r="193">
          <cell r="B193" t="str">
            <v>Mercury Vapor, 400 Watt Lamp</v>
          </cell>
          <cell r="C193">
            <v>454</v>
          </cell>
          <cell r="D193">
            <v>19100</v>
          </cell>
          <cell r="E193" t="str">
            <v>T8 High Performance</v>
          </cell>
          <cell r="F193">
            <v>24000</v>
          </cell>
          <cell r="G193">
            <v>18.34</v>
          </cell>
          <cell r="H193">
            <v>0.4</v>
          </cell>
        </row>
        <row r="194">
          <cell r="B194" t="str">
            <v>Mercury Vapor, 1000 Watt Lamp</v>
          </cell>
          <cell r="C194">
            <v>1080</v>
          </cell>
          <cell r="D194">
            <v>45000</v>
          </cell>
          <cell r="E194" t="str">
            <v>T8 High Performance</v>
          </cell>
          <cell r="F194">
            <v>24000</v>
          </cell>
          <cell r="G194">
            <v>64.08</v>
          </cell>
          <cell r="H194">
            <v>0.4</v>
          </cell>
        </row>
        <row r="195">
          <cell r="B195" t="str">
            <v>=================================</v>
          </cell>
        </row>
        <row r="196">
          <cell r="B196" t="str">
            <v>ENTER OTHER LAMP/BALLAST COMBINATIONS</v>
          </cell>
        </row>
        <row r="197">
          <cell r="B197" t="str">
            <v>=================================</v>
          </cell>
        </row>
        <row r="198">
          <cell r="E198" t="str">
            <v>Explain in notes field on site audit tab if necessary</v>
          </cell>
        </row>
        <row r="199">
          <cell r="E199" t="str">
            <v>Explain in notes field on site audit tab if necessary</v>
          </cell>
        </row>
        <row r="200">
          <cell r="E200" t="str">
            <v>Explain in notes field on site audit tab if necessary</v>
          </cell>
        </row>
        <row r="201">
          <cell r="E201" t="str">
            <v>Explain in notes field on site audit tab if necessary</v>
          </cell>
        </row>
        <row r="202">
          <cell r="B202" t="str">
            <v>=================================</v>
          </cell>
        </row>
      </sheetData>
      <sheetData sheetId="5">
        <row r="3">
          <cell r="B3" t="str">
            <v xml:space="preserve"> Description of Proposed Lighting Controls</v>
          </cell>
          <cell r="C3" t="str">
            <v>Wattage Controlled</v>
          </cell>
          <cell r="D3" t="str">
            <v>Hours Reduced</v>
          </cell>
        </row>
        <row r="4">
          <cell r="B4" t="str">
            <v>=================================</v>
          </cell>
          <cell r="C4" t="str">
            <v>#</v>
          </cell>
          <cell r="D4" t="str">
            <v>#</v>
          </cell>
        </row>
        <row r="5">
          <cell r="B5" t="str">
            <v>No Changes to Lighting Controls (Default)</v>
          </cell>
          <cell r="C5">
            <v>0</v>
          </cell>
          <cell r="D5">
            <v>0</v>
          </cell>
        </row>
        <row r="6">
          <cell r="B6" t="str">
            <v>=================================</v>
          </cell>
          <cell r="C6" t="str">
            <v>#</v>
          </cell>
          <cell r="D6" t="str">
            <v>#</v>
          </cell>
        </row>
        <row r="7">
          <cell r="B7" t="str">
            <v>Motion Sensor (All Lamps, 20% Hr. Reduction)</v>
          </cell>
          <cell r="C7">
            <v>1</v>
          </cell>
          <cell r="D7">
            <v>0.2</v>
          </cell>
        </row>
        <row r="8">
          <cell r="B8" t="str">
            <v>Motion Sensor (All Lamps, 40% Hr. Reduction)</v>
          </cell>
          <cell r="C8">
            <v>1</v>
          </cell>
          <cell r="D8">
            <v>0.4</v>
          </cell>
        </row>
        <row r="9">
          <cell r="B9" t="str">
            <v>Motion Sensor (All Lamps, 50% Hr. Reduction)</v>
          </cell>
          <cell r="C9">
            <v>1</v>
          </cell>
          <cell r="D9">
            <v>0.5</v>
          </cell>
        </row>
        <row r="10">
          <cell r="B10" t="str">
            <v>Motion Sensor (All Lamps, 60% Hr. Reduction)</v>
          </cell>
          <cell r="C10">
            <v>1</v>
          </cell>
          <cell r="D10">
            <v>0.6</v>
          </cell>
        </row>
        <row r="11">
          <cell r="B11" t="str">
            <v>Motion Sensor (All Lamps, 80% Hr. Reduction)</v>
          </cell>
          <cell r="C11">
            <v>1</v>
          </cell>
          <cell r="D11">
            <v>0.8</v>
          </cell>
        </row>
        <row r="12">
          <cell r="B12" t="str">
            <v>=================================</v>
          </cell>
          <cell r="C12" t="str">
            <v>#</v>
          </cell>
          <cell r="D12" t="str">
            <v>#</v>
          </cell>
        </row>
        <row r="13">
          <cell r="B13" t="str">
            <v>Motion Sensor (2/3 Lamps, 20% Hr. Reduction)</v>
          </cell>
          <cell r="C13">
            <v>0.66</v>
          </cell>
          <cell r="D13">
            <v>0.2</v>
          </cell>
        </row>
        <row r="14">
          <cell r="B14" t="str">
            <v>Motion Sensor (2/3 Lamps, 40% Hr. Reduction)</v>
          </cell>
          <cell r="C14">
            <v>0.66</v>
          </cell>
          <cell r="D14">
            <v>0.4</v>
          </cell>
        </row>
        <row r="15">
          <cell r="B15" t="str">
            <v>Motion Sensor (2/3 Lamps, 50% Hr. Reduction)</v>
          </cell>
          <cell r="C15">
            <v>0.66</v>
          </cell>
          <cell r="D15">
            <v>0.5</v>
          </cell>
        </row>
        <row r="16">
          <cell r="B16" t="str">
            <v>Motion Sensor (2/3 Lamps, 60% Hr. Reduction)</v>
          </cell>
          <cell r="C16">
            <v>0.66</v>
          </cell>
          <cell r="D16">
            <v>0.6</v>
          </cell>
        </row>
        <row r="17">
          <cell r="B17" t="str">
            <v>Motion Sensor (2/3 Lamps, 80% Hr. Reduction)</v>
          </cell>
          <cell r="C17">
            <v>0.66</v>
          </cell>
          <cell r="D17">
            <v>0.8</v>
          </cell>
        </row>
        <row r="18">
          <cell r="B18" t="str">
            <v>=================================</v>
          </cell>
          <cell r="C18" t="str">
            <v>#</v>
          </cell>
          <cell r="D18" t="str">
            <v>#</v>
          </cell>
        </row>
        <row r="19">
          <cell r="B19" t="str">
            <v>Motion Sensor (1/2 Lamps, 20% Hr. Reduction)</v>
          </cell>
          <cell r="C19">
            <v>0.5</v>
          </cell>
          <cell r="D19">
            <v>0.2</v>
          </cell>
        </row>
        <row r="20">
          <cell r="B20" t="str">
            <v>Motion Sensor (1/2 Lamps, 40% Hr. Reduction)</v>
          </cell>
          <cell r="C20">
            <v>0.5</v>
          </cell>
          <cell r="D20">
            <v>0.4</v>
          </cell>
        </row>
        <row r="21">
          <cell r="B21" t="str">
            <v>Motion Sensor (1/2 Lamps, 50% Hr. Reduction)</v>
          </cell>
          <cell r="C21">
            <v>0.5</v>
          </cell>
          <cell r="D21">
            <v>0.5</v>
          </cell>
        </row>
        <row r="22">
          <cell r="B22" t="str">
            <v>Motion Sensor (1/2 Lamps, 60% Hr. Reduction)</v>
          </cell>
          <cell r="C22">
            <v>0.5</v>
          </cell>
          <cell r="D22">
            <v>0.6</v>
          </cell>
        </row>
        <row r="23">
          <cell r="B23" t="str">
            <v>Motion Sensor (1/2 Lamps, 80% Hr. Reduction)</v>
          </cell>
          <cell r="C23">
            <v>0.5</v>
          </cell>
          <cell r="D23">
            <v>0.8</v>
          </cell>
        </row>
        <row r="24">
          <cell r="B24" t="str">
            <v>=================================</v>
          </cell>
          <cell r="C24" t="str">
            <v>#</v>
          </cell>
          <cell r="D24" t="str">
            <v>#</v>
          </cell>
        </row>
        <row r="25">
          <cell r="B25" t="str">
            <v>Daylighting / Photo Sensor Controls</v>
          </cell>
          <cell r="C25" t="str">
            <v>#</v>
          </cell>
          <cell r="D25" t="str">
            <v>#</v>
          </cell>
        </row>
        <row r="26">
          <cell r="B26" t="str">
            <v>=================================</v>
          </cell>
          <cell r="C26" t="str">
            <v>#</v>
          </cell>
          <cell r="D26" t="str">
            <v>#</v>
          </cell>
        </row>
        <row r="27">
          <cell r="B27" t="str">
            <v>Photo Sensor (All Lamps, 20% Hr. Reduction)</v>
          </cell>
          <cell r="C27">
            <v>1</v>
          </cell>
          <cell r="D27">
            <v>0.2</v>
          </cell>
        </row>
        <row r="28">
          <cell r="B28" t="str">
            <v>Photo Sensor (All Lamps, 40% Hr. Reduction)</v>
          </cell>
          <cell r="C28">
            <v>1</v>
          </cell>
          <cell r="D28">
            <v>0.4</v>
          </cell>
        </row>
        <row r="29">
          <cell r="B29" t="str">
            <v>Photo Sensor (All Lamps, 50% Hr. Reduction)</v>
          </cell>
          <cell r="C29">
            <v>1</v>
          </cell>
          <cell r="D29">
            <v>0.5</v>
          </cell>
        </row>
        <row r="30">
          <cell r="B30" t="str">
            <v>Photo Sensor (All Lamps, 60% Hr. Reduction)</v>
          </cell>
          <cell r="C30">
            <v>1</v>
          </cell>
          <cell r="D30">
            <v>0.6</v>
          </cell>
        </row>
        <row r="31">
          <cell r="B31" t="str">
            <v>Photo Sensor (All Lamps, 80% Hr. Reduction)</v>
          </cell>
          <cell r="C31">
            <v>1</v>
          </cell>
          <cell r="D31">
            <v>0.8</v>
          </cell>
        </row>
        <row r="32">
          <cell r="B32" t="str">
            <v>=================================</v>
          </cell>
          <cell r="C32" t="str">
            <v>#</v>
          </cell>
          <cell r="D32" t="str">
            <v>#</v>
          </cell>
        </row>
        <row r="33">
          <cell r="B33" t="str">
            <v>Continuous Daylighting Dimming Controls</v>
          </cell>
          <cell r="C33" t="str">
            <v>#</v>
          </cell>
          <cell r="D33" t="str">
            <v>#</v>
          </cell>
        </row>
        <row r="34">
          <cell r="B34" t="str">
            <v>=================================</v>
          </cell>
          <cell r="C34" t="str">
            <v>#</v>
          </cell>
          <cell r="D34" t="str">
            <v>#</v>
          </cell>
        </row>
        <row r="35">
          <cell r="B35" t="str">
            <v>Daylighting Dimming  (20% Avg. Savings)</v>
          </cell>
          <cell r="C35">
            <v>1</v>
          </cell>
          <cell r="D35">
            <v>0.2</v>
          </cell>
        </row>
        <row r="36">
          <cell r="B36" t="str">
            <v>Daylighting Dimming  (40% Avg. Savings)</v>
          </cell>
          <cell r="C36">
            <v>1</v>
          </cell>
          <cell r="D36">
            <v>0.4</v>
          </cell>
        </row>
        <row r="37">
          <cell r="B37" t="str">
            <v>Daylighting Dimming  (50% Avg. Savings)</v>
          </cell>
          <cell r="C37">
            <v>1</v>
          </cell>
          <cell r="D37">
            <v>0.5</v>
          </cell>
        </row>
        <row r="38">
          <cell r="B38" t="str">
            <v>Daylighting Dimming  (60% Avg. Savings)</v>
          </cell>
          <cell r="C38">
            <v>1</v>
          </cell>
          <cell r="D38">
            <v>0.6</v>
          </cell>
        </row>
        <row r="39">
          <cell r="B39" t="str">
            <v>Daylighting Dimming  (80% Avg. Savings)</v>
          </cell>
          <cell r="C39">
            <v>1</v>
          </cell>
          <cell r="D39">
            <v>0.8</v>
          </cell>
        </row>
        <row r="40">
          <cell r="B40" t="str">
            <v>=================================</v>
          </cell>
          <cell r="C40" t="str">
            <v>#</v>
          </cell>
          <cell r="D40" t="str">
            <v>#</v>
          </cell>
        </row>
        <row r="41">
          <cell r="B41" t="str">
            <v>Install Manual Timer</v>
          </cell>
          <cell r="C41" t="str">
            <v>#</v>
          </cell>
          <cell r="D41" t="str">
            <v>#</v>
          </cell>
        </row>
        <row r="42">
          <cell r="B42" t="str">
            <v>=================================</v>
          </cell>
          <cell r="C42" t="str">
            <v>#</v>
          </cell>
          <cell r="D42" t="str">
            <v>#</v>
          </cell>
        </row>
        <row r="43">
          <cell r="B43" t="str">
            <v>Manual Timer (20% Avg. Savings)</v>
          </cell>
          <cell r="C43">
            <v>1</v>
          </cell>
          <cell r="D43">
            <v>0.2</v>
          </cell>
        </row>
        <row r="44">
          <cell r="B44" t="str">
            <v>Manual Timer (40% Avg. Savings)</v>
          </cell>
          <cell r="C44">
            <v>1</v>
          </cell>
          <cell r="D44">
            <v>0.4</v>
          </cell>
        </row>
        <row r="45">
          <cell r="B45" t="str">
            <v>Manual Timer (50% Avg. Savings)</v>
          </cell>
          <cell r="C45">
            <v>1</v>
          </cell>
          <cell r="D45">
            <v>0.5</v>
          </cell>
        </row>
        <row r="46">
          <cell r="B46" t="str">
            <v>Manual Timer (60% Avg. Savings)</v>
          </cell>
          <cell r="C46">
            <v>1</v>
          </cell>
          <cell r="D46">
            <v>0.6</v>
          </cell>
        </row>
        <row r="47">
          <cell r="B47" t="str">
            <v>Manual Timer (80% Avg. Savings)</v>
          </cell>
          <cell r="C47">
            <v>1</v>
          </cell>
          <cell r="D47">
            <v>0.8</v>
          </cell>
        </row>
        <row r="48">
          <cell r="B48" t="str">
            <v>----------------------------</v>
          </cell>
          <cell r="C48" t="str">
            <v>#</v>
          </cell>
          <cell r="D48" t="str">
            <v>#</v>
          </cell>
        </row>
        <row r="49">
          <cell r="B49" t="str">
            <v>=================================</v>
          </cell>
          <cell r="C49" t="str">
            <v>#</v>
          </cell>
          <cell r="D49" t="str">
            <v>#</v>
          </cell>
        </row>
        <row r="50">
          <cell r="B50" t="str">
            <v>ENTER OTHER LIGHTING CONTROL</v>
          </cell>
          <cell r="C50" t="str">
            <v>#</v>
          </cell>
          <cell r="D50" t="str">
            <v>#</v>
          </cell>
        </row>
        <row r="51">
          <cell r="B51" t="str">
            <v xml:space="preserve">COMBINATIONS ON THE </v>
          </cell>
          <cell r="C51" t="str">
            <v>#</v>
          </cell>
          <cell r="D51" t="str">
            <v>#</v>
          </cell>
        </row>
        <row r="52">
          <cell r="B52" t="str">
            <v>"Proposed Controls" SHEET</v>
          </cell>
          <cell r="C52" t="str">
            <v>#</v>
          </cell>
          <cell r="D52" t="str">
            <v>#</v>
          </cell>
        </row>
        <row r="53">
          <cell r="B53" t="str">
            <v>=================================</v>
          </cell>
          <cell r="C53" t="str">
            <v>#</v>
          </cell>
          <cell r="D53" t="str">
            <v>#</v>
          </cell>
        </row>
        <row r="54">
          <cell r="B54" t="str">
            <v>T12 FLUORESCENT (8' LAMPS)</v>
          </cell>
        </row>
        <row r="55">
          <cell r="B55" t="str">
            <v>=================================</v>
          </cell>
        </row>
        <row r="56">
          <cell r="B56" t="str">
            <v>T12 8' Fluorescent, 1-60 Watt Lamp, Magnetic Ballast</v>
          </cell>
          <cell r="C56">
            <v>83</v>
          </cell>
          <cell r="D56">
            <v>4258.6499999999996</v>
          </cell>
        </row>
        <row r="57">
          <cell r="B57" t="str">
            <v>T12 8' Fluorescent, 1-75 Watt Lamp, Magnetic Ballast</v>
          </cell>
          <cell r="C57">
            <v>100</v>
          </cell>
          <cell r="D57">
            <v>5145.09</v>
          </cell>
        </row>
        <row r="58">
          <cell r="B58" t="str">
            <v>=================================</v>
          </cell>
          <cell r="C58">
            <v>125</v>
          </cell>
          <cell r="D58">
            <v>5728.8</v>
          </cell>
        </row>
      </sheetData>
      <sheetData sheetId="6">
        <row r="3">
          <cell r="B3" t="str">
            <v xml:space="preserve">   Description of Proposed Lamp/Ballast Combination</v>
          </cell>
          <cell r="C3" t="str">
            <v>Input Watts</v>
          </cell>
          <cell r="D3" t="str">
            <v>Mean System Lumens</v>
          </cell>
          <cell r="E3" t="str">
            <v>Measure Category</v>
          </cell>
          <cell r="F3" t="str">
            <v>Rebate Amount</v>
          </cell>
          <cell r="G3" t="str">
            <v xml:space="preserve">        Notes / Alternate Suggestions </v>
          </cell>
          <cell r="I3" t="str">
            <v># lamps</v>
          </cell>
          <cell r="J3" t="str">
            <v xml:space="preserve">bf </v>
          </cell>
          <cell r="K3" t="str">
            <v>lumen lamp</v>
          </cell>
          <cell r="L3" t="str">
            <v>lumen maint</v>
          </cell>
          <cell r="M3" t="str">
            <v>ballast type</v>
          </cell>
          <cell r="N3" t="str">
            <v>BEF</v>
          </cell>
          <cell r="O3" t="str">
            <v>LPW</v>
          </cell>
          <cell r="Q3" t="str">
            <v>Rated Average Lamp Life (hrs/lamp for RS ballast @ 12 hrs/start)</v>
          </cell>
          <cell r="R3" t="str">
            <v>Lamp Cost ($/lamp)</v>
          </cell>
          <cell r="S3" t="str">
            <v>Lamp Change Labor (hours/lamp)</v>
          </cell>
        </row>
        <row r="4">
          <cell r="B4" t="str">
            <v>=================================</v>
          </cell>
          <cell r="C4" t="str">
            <v>#</v>
          </cell>
          <cell r="D4" t="str">
            <v>#</v>
          </cell>
        </row>
        <row r="5">
          <cell r="B5" t="str">
            <v xml:space="preserve">Add qualifying measure(s) here.  See the technical specifications for guidance.  </v>
          </cell>
          <cell r="C5">
            <v>0</v>
          </cell>
          <cell r="D5">
            <v>0</v>
          </cell>
          <cell r="G5" t="str">
            <v xml:space="preserve">&lt;&lt;Input a wattage and mean system lumens </v>
          </cell>
        </row>
        <row r="6">
          <cell r="B6" t="str">
            <v>No recommendation (leave fixture as-is)</v>
          </cell>
          <cell r="C6" t="str">
            <v>#</v>
          </cell>
          <cell r="D6" t="str">
            <v>#</v>
          </cell>
          <cell r="E6" t="str">
            <v>N/A</v>
          </cell>
          <cell r="F6">
            <v>0</v>
          </cell>
          <cell r="G6" t="str">
            <v>Leave fixture as-is</v>
          </cell>
        </row>
        <row r="7">
          <cell r="B7" t="str">
            <v>Decommission (Permanently Remove)  Lighting Fixture</v>
          </cell>
          <cell r="C7">
            <v>0</v>
          </cell>
          <cell r="D7">
            <v>0</v>
          </cell>
          <cell r="E7" t="str">
            <v>N/A</v>
          </cell>
          <cell r="F7">
            <v>0</v>
          </cell>
          <cell r="G7" t="str">
            <v>Permanently remove unneeded light fixtures</v>
          </cell>
        </row>
        <row r="8">
          <cell r="B8" t="str">
            <v>=================================</v>
          </cell>
          <cell r="C8">
            <v>1</v>
          </cell>
          <cell r="D8">
            <v>0.4</v>
          </cell>
        </row>
        <row r="9">
          <cell r="B9" t="str">
            <v>HIGH PERFORMANCE T8 or NLO T5 LAMP and BALLAST (New Fixture or Retrofit)</v>
          </cell>
          <cell r="C9">
            <v>1</v>
          </cell>
          <cell r="D9">
            <v>0.5</v>
          </cell>
        </row>
        <row r="10">
          <cell r="B10" t="str">
            <v>=================================</v>
          </cell>
          <cell r="C10">
            <v>1</v>
          </cell>
          <cell r="D10">
            <v>0.6</v>
          </cell>
        </row>
        <row r="11">
          <cell r="B11" t="str">
            <v>32 Watt Lamps</v>
          </cell>
          <cell r="C11">
            <v>1</v>
          </cell>
          <cell r="D11">
            <v>0.8</v>
          </cell>
        </row>
        <row r="12">
          <cell r="B12" t="str">
            <v>----------------------------</v>
          </cell>
          <cell r="C12" t="str">
            <v>#</v>
          </cell>
          <cell r="D12" t="str">
            <v>#</v>
          </cell>
        </row>
        <row r="13">
          <cell r="B13" t="str">
            <v xml:space="preserve">High Performance T8,  1-4' lamp with Reduced Light Output ballast. </v>
          </cell>
          <cell r="C13">
            <v>25</v>
          </cell>
          <cell r="D13">
            <v>2297.1</v>
          </cell>
          <cell r="E13" t="str">
            <v>A1</v>
          </cell>
          <cell r="F13">
            <v>20</v>
          </cell>
          <cell r="G13" t="str">
            <v>Best Energy Efficient Choice</v>
          </cell>
          <cell r="I13">
            <v>1</v>
          </cell>
          <cell r="J13">
            <v>0.78</v>
          </cell>
          <cell r="K13">
            <v>3100</v>
          </cell>
          <cell r="L13">
            <v>0.95</v>
          </cell>
          <cell r="M13" t="str">
            <v>ISL</v>
          </cell>
          <cell r="N13">
            <v>3.12</v>
          </cell>
          <cell r="O13">
            <v>96.72</v>
          </cell>
          <cell r="Q13">
            <v>30000</v>
          </cell>
          <cell r="R13">
            <v>3.25</v>
          </cell>
          <cell r="S13">
            <v>0.09</v>
          </cell>
        </row>
        <row r="14">
          <cell r="B14" t="str">
            <v xml:space="preserve">High Performance T8,  1-4' lamp with Normal Light Output ballast.  </v>
          </cell>
          <cell r="C14">
            <v>28</v>
          </cell>
          <cell r="D14">
            <v>2591.6</v>
          </cell>
          <cell r="E14" t="str">
            <v>A1</v>
          </cell>
          <cell r="F14">
            <v>20</v>
          </cell>
          <cell r="G14" t="str">
            <v>Typical high performance recommendation</v>
          </cell>
          <cell r="I14">
            <v>1</v>
          </cell>
          <cell r="J14">
            <v>0.88</v>
          </cell>
          <cell r="K14">
            <v>3100</v>
          </cell>
          <cell r="L14">
            <v>0.95</v>
          </cell>
          <cell r="M14" t="str">
            <v>ISN</v>
          </cell>
          <cell r="N14">
            <v>3.1428571428571428</v>
          </cell>
          <cell r="O14">
            <v>97.428571428571431</v>
          </cell>
          <cell r="Q14">
            <v>30000</v>
          </cell>
          <cell r="R14">
            <v>3.25</v>
          </cell>
          <cell r="S14">
            <v>0.09</v>
          </cell>
        </row>
        <row r="15">
          <cell r="B15" t="str">
            <v xml:space="preserve">High Performance T8,  1-4' lamp with High Light Output ballast.  </v>
          </cell>
          <cell r="C15">
            <v>32</v>
          </cell>
          <cell r="D15">
            <v>2945</v>
          </cell>
          <cell r="E15" t="str">
            <v>A1</v>
          </cell>
          <cell r="F15">
            <v>20</v>
          </cell>
          <cell r="G15" t="str">
            <v>Best choice if de-lamping</v>
          </cell>
          <cell r="I15">
            <v>1</v>
          </cell>
          <cell r="J15">
            <v>1</v>
          </cell>
          <cell r="K15">
            <v>3100</v>
          </cell>
          <cell r="L15">
            <v>0.95</v>
          </cell>
          <cell r="M15" t="str">
            <v>PRS</v>
          </cell>
          <cell r="N15">
            <v>3.125</v>
          </cell>
          <cell r="O15">
            <v>96.875</v>
          </cell>
          <cell r="Q15">
            <v>30000</v>
          </cell>
          <cell r="R15">
            <v>3.25</v>
          </cell>
          <cell r="S15">
            <v>0.09</v>
          </cell>
        </row>
        <row r="16">
          <cell r="B16" t="str">
            <v>----------------------------</v>
          </cell>
          <cell r="C16">
            <v>0.66</v>
          </cell>
          <cell r="D16">
            <v>0.6</v>
          </cell>
        </row>
        <row r="17">
          <cell r="B17" t="str">
            <v xml:space="preserve">High Performance T8,  2-4' lamps with Reduced Light Output ballast.  </v>
          </cell>
          <cell r="C17">
            <v>48</v>
          </cell>
          <cell r="D17">
            <v>4594.2</v>
          </cell>
          <cell r="E17" t="str">
            <v>A2</v>
          </cell>
          <cell r="F17">
            <v>40</v>
          </cell>
          <cell r="G17" t="str">
            <v>Best Energy Efficient Choice</v>
          </cell>
          <cell r="I17">
            <v>2</v>
          </cell>
          <cell r="J17">
            <v>0.78</v>
          </cell>
          <cell r="K17">
            <v>3100</v>
          </cell>
          <cell r="L17">
            <v>0.95</v>
          </cell>
          <cell r="M17" t="str">
            <v>ISL</v>
          </cell>
          <cell r="N17">
            <v>1.625</v>
          </cell>
          <cell r="O17">
            <v>100.75</v>
          </cell>
          <cell r="Q17">
            <v>30000</v>
          </cell>
          <cell r="R17">
            <v>3.25</v>
          </cell>
          <cell r="S17">
            <v>0.09</v>
          </cell>
        </row>
        <row r="18">
          <cell r="B18" t="str">
            <v xml:space="preserve">High Performance T8,  2-4' lamps with Normal Light Output ballast.  </v>
          </cell>
          <cell r="C18">
            <v>55</v>
          </cell>
          <cell r="D18">
            <v>5183.2</v>
          </cell>
          <cell r="E18" t="str">
            <v>A2</v>
          </cell>
          <cell r="F18">
            <v>40</v>
          </cell>
          <cell r="G18" t="str">
            <v>Typical recommendation</v>
          </cell>
          <cell r="I18">
            <v>2</v>
          </cell>
          <cell r="J18">
            <v>0.88</v>
          </cell>
          <cell r="K18">
            <v>3100</v>
          </cell>
          <cell r="L18">
            <v>0.95</v>
          </cell>
          <cell r="M18" t="str">
            <v>ISN</v>
          </cell>
          <cell r="N18">
            <v>1.6</v>
          </cell>
          <cell r="O18">
            <v>99.2</v>
          </cell>
          <cell r="Q18">
            <v>30000</v>
          </cell>
          <cell r="R18">
            <v>3.25</v>
          </cell>
          <cell r="S18">
            <v>0.09</v>
          </cell>
        </row>
        <row r="19">
          <cell r="B19" t="str">
            <v>High Performance T8 Stairwell or Parking Lot Light,  2-4' lamps with Normal Light Output ballast and fixture-mounted occupancy sensor (reduce proposed operating hours accordingly)</v>
          </cell>
          <cell r="C19">
            <v>60</v>
          </cell>
          <cell r="D19">
            <v>5183.2</v>
          </cell>
          <cell r="E19" t="str">
            <v>A2/J1</v>
          </cell>
          <cell r="F19">
            <v>75</v>
          </cell>
          <cell r="G19" t="str">
            <v>Stairwell or parking garage new fixture  (includes a light that is on 24/7)</v>
          </cell>
          <cell r="I19">
            <v>2</v>
          </cell>
          <cell r="J19">
            <v>0.88</v>
          </cell>
          <cell r="K19">
            <v>3100</v>
          </cell>
          <cell r="L19">
            <v>0.95</v>
          </cell>
          <cell r="M19" t="str">
            <v>ISN</v>
          </cell>
          <cell r="N19">
            <v>1.4666666666666666</v>
          </cell>
          <cell r="O19">
            <v>90.933333333333337</v>
          </cell>
          <cell r="Q19">
            <v>30000</v>
          </cell>
          <cell r="R19">
            <v>3.25</v>
          </cell>
          <cell r="S19">
            <v>0.09</v>
          </cell>
        </row>
        <row r="20">
          <cell r="B20" t="str">
            <v xml:space="preserve">High Performance T8,  2-4' lamps with High Light Output ballast.  </v>
          </cell>
          <cell r="C20">
            <v>74</v>
          </cell>
          <cell r="D20">
            <v>6773.4999999999991</v>
          </cell>
          <cell r="E20" t="str">
            <v>A2</v>
          </cell>
          <cell r="F20">
            <v>40</v>
          </cell>
          <cell r="G20" t="str">
            <v>Best choice if de-lamping</v>
          </cell>
          <cell r="I20">
            <v>2</v>
          </cell>
          <cell r="J20">
            <v>1.1499999999999999</v>
          </cell>
          <cell r="K20">
            <v>3100</v>
          </cell>
          <cell r="L20">
            <v>0.95</v>
          </cell>
          <cell r="M20" t="str">
            <v>ISH</v>
          </cell>
          <cell r="N20">
            <v>1.5540540540540539</v>
          </cell>
          <cell r="O20">
            <v>96.35135135135134</v>
          </cell>
          <cell r="Q20">
            <v>30000</v>
          </cell>
          <cell r="R20">
            <v>3.25</v>
          </cell>
          <cell r="S20">
            <v>0.09</v>
          </cell>
        </row>
        <row r="21">
          <cell r="B21" t="str">
            <v>----------------------------</v>
          </cell>
          <cell r="C21">
            <v>0.5</v>
          </cell>
          <cell r="D21">
            <v>0.5</v>
          </cell>
        </row>
        <row r="22">
          <cell r="B22" t="str">
            <v>High Performance T8,  2-8' 54 Watt lamps with Normal Light Output ballast, 96 Watt typical, System efficacy &gt;95 lumens per Watt</v>
          </cell>
          <cell r="C22">
            <v>96</v>
          </cell>
          <cell r="D22">
            <v>9587.4</v>
          </cell>
          <cell r="E22" t="str">
            <v>A2</v>
          </cell>
          <cell r="F22">
            <v>40</v>
          </cell>
          <cell r="G22" t="str">
            <v>Various lamp ballast combinations are available, typical 96 watt ballast</v>
          </cell>
          <cell r="I22">
            <v>2</v>
          </cell>
          <cell r="J22">
            <v>0.87</v>
          </cell>
          <cell r="K22">
            <v>5800</v>
          </cell>
          <cell r="L22">
            <v>0.95</v>
          </cell>
          <cell r="M22" t="str">
            <v>ISN</v>
          </cell>
          <cell r="N22">
            <v>0.90625</v>
          </cell>
          <cell r="O22">
            <v>105.125</v>
          </cell>
          <cell r="Q22">
            <v>24000</v>
          </cell>
          <cell r="R22">
            <v>8.99</v>
          </cell>
          <cell r="S22">
            <v>0.09</v>
          </cell>
        </row>
        <row r="23">
          <cell r="B23" t="str">
            <v>High Performance T8,  2-8' lamps with Normal Light Output ballast, 110 Watt Max, System efficacy &gt;95 lumens per Watt</v>
          </cell>
          <cell r="C23">
            <v>110</v>
          </cell>
          <cell r="D23">
            <v>10199.199999999999</v>
          </cell>
          <cell r="E23" t="str">
            <v>A2</v>
          </cell>
          <cell r="F23">
            <v>40</v>
          </cell>
          <cell r="G23" t="str">
            <v>Various lamp ballast combinations are available, typical 110 watt ballast</v>
          </cell>
          <cell r="I23">
            <v>2</v>
          </cell>
          <cell r="J23">
            <v>0.88</v>
          </cell>
          <cell r="K23">
            <v>6100</v>
          </cell>
          <cell r="L23">
            <v>0.95</v>
          </cell>
          <cell r="M23" t="str">
            <v>ISN</v>
          </cell>
          <cell r="N23">
            <v>0.8</v>
          </cell>
          <cell r="O23">
            <v>97.6</v>
          </cell>
          <cell r="Q23">
            <v>24000</v>
          </cell>
          <cell r="R23">
            <v>8.99</v>
          </cell>
          <cell r="S23">
            <v>0.09</v>
          </cell>
        </row>
        <row r="24">
          <cell r="B24" t="str">
            <v>----------------------------</v>
          </cell>
          <cell r="C24" t="str">
            <v>#</v>
          </cell>
          <cell r="D24" t="str">
            <v>#</v>
          </cell>
        </row>
        <row r="25">
          <cell r="B25" t="str">
            <v xml:space="preserve">High Performance T8,  3-4' lamps with Reduced Light Output ballast.  </v>
          </cell>
          <cell r="C25">
            <v>72</v>
          </cell>
          <cell r="D25">
            <v>6802.95</v>
          </cell>
          <cell r="E25" t="str">
            <v>A2</v>
          </cell>
          <cell r="F25">
            <v>40</v>
          </cell>
          <cell r="G25" t="str">
            <v>Best Energy Efficient Choice</v>
          </cell>
          <cell r="I25">
            <v>3</v>
          </cell>
          <cell r="J25">
            <v>0.77</v>
          </cell>
          <cell r="K25">
            <v>3100</v>
          </cell>
          <cell r="L25">
            <v>0.95</v>
          </cell>
          <cell r="M25" t="str">
            <v>ISL</v>
          </cell>
          <cell r="N25">
            <v>1.0694444444444444</v>
          </cell>
          <cell r="O25">
            <v>99.458333333333329</v>
          </cell>
          <cell r="Q25">
            <v>30000</v>
          </cell>
          <cell r="R25">
            <v>3.25</v>
          </cell>
          <cell r="S25">
            <v>0.09</v>
          </cell>
        </row>
        <row r="26">
          <cell r="B26" t="str">
            <v xml:space="preserve">High Performance T8,  3-4' lamps with Normal Light Output ballast.  </v>
          </cell>
          <cell r="C26">
            <v>81</v>
          </cell>
          <cell r="D26">
            <v>7686.45</v>
          </cell>
          <cell r="E26" t="str">
            <v>A2</v>
          </cell>
          <cell r="F26">
            <v>40</v>
          </cell>
          <cell r="G26" t="str">
            <v>Typical recommendation</v>
          </cell>
          <cell r="I26">
            <v>3</v>
          </cell>
          <cell r="J26">
            <v>0.87</v>
          </cell>
          <cell r="K26">
            <v>3100</v>
          </cell>
          <cell r="L26">
            <v>0.95</v>
          </cell>
          <cell r="M26" t="str">
            <v>ISN</v>
          </cell>
          <cell r="N26">
            <v>1.0740740740740742</v>
          </cell>
          <cell r="O26">
            <v>99.888888888888886</v>
          </cell>
          <cell r="Q26">
            <v>30000</v>
          </cell>
          <cell r="R26">
            <v>3.25</v>
          </cell>
          <cell r="S26">
            <v>0.09</v>
          </cell>
        </row>
        <row r="27">
          <cell r="B27" t="str">
            <v xml:space="preserve">High Performance T8,  3-4' lamps with High Light Output ballast.  </v>
          </cell>
          <cell r="C27">
            <v>110</v>
          </cell>
          <cell r="D27">
            <v>10160.25</v>
          </cell>
          <cell r="E27" t="str">
            <v>A2</v>
          </cell>
          <cell r="F27">
            <v>40</v>
          </cell>
          <cell r="G27" t="str">
            <v>Best choice if de-lamping</v>
          </cell>
          <cell r="I27">
            <v>3</v>
          </cell>
          <cell r="J27">
            <v>1.1499999999999999</v>
          </cell>
          <cell r="K27">
            <v>3100</v>
          </cell>
          <cell r="L27">
            <v>0.95</v>
          </cell>
          <cell r="M27" t="str">
            <v>ISH</v>
          </cell>
          <cell r="N27">
            <v>1.0454545454545454</v>
          </cell>
          <cell r="O27">
            <v>97.227272727272734</v>
          </cell>
          <cell r="Q27">
            <v>30000</v>
          </cell>
          <cell r="R27">
            <v>3.25</v>
          </cell>
          <cell r="S27">
            <v>0.09</v>
          </cell>
        </row>
        <row r="28">
          <cell r="B28" t="str">
            <v>----------------------------</v>
          </cell>
          <cell r="C28">
            <v>1</v>
          </cell>
          <cell r="D28">
            <v>0.4</v>
          </cell>
        </row>
        <row r="29">
          <cell r="B29" t="str">
            <v xml:space="preserve">High Performance T8,  4-4' lamps with Reduced Light Output ballast.  </v>
          </cell>
          <cell r="C29">
            <v>95</v>
          </cell>
          <cell r="D29">
            <v>9070.6</v>
          </cell>
          <cell r="E29" t="str">
            <v>A2</v>
          </cell>
          <cell r="F29">
            <v>40</v>
          </cell>
          <cell r="G29" t="str">
            <v>Best Energy Efficient Choice</v>
          </cell>
          <cell r="I29">
            <v>4</v>
          </cell>
          <cell r="J29">
            <v>0.77</v>
          </cell>
          <cell r="K29">
            <v>3100</v>
          </cell>
          <cell r="L29">
            <v>0.95</v>
          </cell>
          <cell r="M29" t="str">
            <v>ISL</v>
          </cell>
          <cell r="N29">
            <v>0.81052631578947365</v>
          </cell>
          <cell r="O29">
            <v>100.50526315789473</v>
          </cell>
          <cell r="Q29">
            <v>30000</v>
          </cell>
          <cell r="R29">
            <v>3.25</v>
          </cell>
          <cell r="S29">
            <v>0.09</v>
          </cell>
        </row>
        <row r="30">
          <cell r="B30" t="str">
            <v xml:space="preserve">High Performance T8,  4-4' lamps with Normal Light Output ballast.  </v>
          </cell>
          <cell r="C30">
            <v>108</v>
          </cell>
          <cell r="D30">
            <v>10248.6</v>
          </cell>
          <cell r="E30" t="str">
            <v>A2</v>
          </cell>
          <cell r="F30">
            <v>40</v>
          </cell>
          <cell r="G30" t="str">
            <v>Typical recommendation</v>
          </cell>
          <cell r="I30">
            <v>4</v>
          </cell>
          <cell r="J30">
            <v>0.87</v>
          </cell>
          <cell r="K30">
            <v>3100</v>
          </cell>
          <cell r="L30">
            <v>0.95</v>
          </cell>
          <cell r="M30" t="str">
            <v>ISN</v>
          </cell>
          <cell r="N30">
            <v>0.80555555555555558</v>
          </cell>
          <cell r="O30">
            <v>99.888888888888886</v>
          </cell>
          <cell r="Q30">
            <v>30000</v>
          </cell>
          <cell r="R30">
            <v>3.25</v>
          </cell>
          <cell r="S30">
            <v>0.09</v>
          </cell>
        </row>
        <row r="31">
          <cell r="B31" t="str">
            <v xml:space="preserve">High Performance T8,  4-4' lamps with High Light Output ballast.  </v>
          </cell>
          <cell r="C31">
            <v>148</v>
          </cell>
          <cell r="D31">
            <v>13546.999999999998</v>
          </cell>
          <cell r="E31" t="str">
            <v>A2</v>
          </cell>
          <cell r="F31">
            <v>40</v>
          </cell>
          <cell r="G31" t="str">
            <v>High-Bay applications</v>
          </cell>
          <cell r="I31">
            <v>4</v>
          </cell>
          <cell r="J31">
            <v>1.1499999999999999</v>
          </cell>
          <cell r="K31">
            <v>3100</v>
          </cell>
          <cell r="L31">
            <v>0.95</v>
          </cell>
          <cell r="M31" t="str">
            <v>ISH</v>
          </cell>
          <cell r="N31">
            <v>0.77702702702702697</v>
          </cell>
          <cell r="O31">
            <v>96.35135135135134</v>
          </cell>
          <cell r="Q31">
            <v>30000</v>
          </cell>
          <cell r="R31">
            <v>3.25</v>
          </cell>
          <cell r="S31">
            <v>0.09</v>
          </cell>
        </row>
        <row r="32">
          <cell r="B32" t="str">
            <v>----------------------------</v>
          </cell>
          <cell r="C32" t="str">
            <v>#</v>
          </cell>
          <cell r="D32" t="str">
            <v>#</v>
          </cell>
        </row>
        <row r="33">
          <cell r="B33" t="str">
            <v>25 Watt Lamps</v>
          </cell>
          <cell r="C33" t="str">
            <v>#</v>
          </cell>
          <cell r="D33" t="str">
            <v>#</v>
          </cell>
        </row>
        <row r="34">
          <cell r="B34" t="str">
            <v>----------------------------</v>
          </cell>
          <cell r="C34" t="str">
            <v>#</v>
          </cell>
          <cell r="D34" t="str">
            <v>#</v>
          </cell>
        </row>
        <row r="35">
          <cell r="B35" t="str">
            <v xml:space="preserve">High Performance T8,  2-4' 25 Watt lamps with Reduced Light Output ballast.  </v>
          </cell>
          <cell r="C35">
            <v>38</v>
          </cell>
          <cell r="D35">
            <v>3474.24</v>
          </cell>
          <cell r="E35" t="str">
            <v>A2</v>
          </cell>
          <cell r="F35">
            <v>40</v>
          </cell>
          <cell r="G35" t="str">
            <v>Best Energy Efficient Choice</v>
          </cell>
          <cell r="I35">
            <v>2</v>
          </cell>
          <cell r="J35">
            <v>0.77</v>
          </cell>
          <cell r="K35">
            <v>2400</v>
          </cell>
          <cell r="L35">
            <v>0.94</v>
          </cell>
          <cell r="M35" t="str">
            <v>ISL</v>
          </cell>
          <cell r="N35">
            <v>2.0263157894736841</v>
          </cell>
          <cell r="O35">
            <v>97.263157894736835</v>
          </cell>
          <cell r="Q35">
            <v>30000</v>
          </cell>
          <cell r="R35">
            <v>3.25</v>
          </cell>
          <cell r="S35">
            <v>0.09</v>
          </cell>
        </row>
        <row r="36">
          <cell r="B36" t="str">
            <v xml:space="preserve">High Performance T8,  3-4' 25 Watt lamps with Reduced Light Output ballast.  </v>
          </cell>
          <cell r="C36">
            <v>58</v>
          </cell>
          <cell r="D36">
            <v>5211.3599999999997</v>
          </cell>
          <cell r="E36" t="str">
            <v>A2</v>
          </cell>
          <cell r="F36">
            <v>40</v>
          </cell>
          <cell r="G36" t="str">
            <v>Best recommendation if de-lamping is not an option (i.e. deep cell parabolic fixtures)</v>
          </cell>
          <cell r="I36">
            <v>3</v>
          </cell>
          <cell r="J36">
            <v>0.77</v>
          </cell>
          <cell r="K36">
            <v>2400</v>
          </cell>
          <cell r="L36">
            <v>0.94</v>
          </cell>
          <cell r="M36" t="str">
            <v>ISL</v>
          </cell>
          <cell r="N36">
            <v>1.3275862068965518</v>
          </cell>
          <cell r="O36">
            <v>95.58620689655173</v>
          </cell>
          <cell r="Q36">
            <v>30000</v>
          </cell>
          <cell r="R36">
            <v>3.25</v>
          </cell>
          <cell r="S36">
            <v>0.09</v>
          </cell>
        </row>
        <row r="37">
          <cell r="B37" t="str">
            <v xml:space="preserve">High Performance T8,  4-4' 25 Watt lamps with Reduced Light Output ballast.  </v>
          </cell>
          <cell r="C37">
            <v>77</v>
          </cell>
          <cell r="D37">
            <v>6948.48</v>
          </cell>
          <cell r="E37" t="str">
            <v>A2</v>
          </cell>
          <cell r="F37">
            <v>40</v>
          </cell>
          <cell r="G37" t="str">
            <v>Best recommendation if de-lamping is not an option (i.e. deep cell parabolic fixtures)</v>
          </cell>
          <cell r="I37">
            <v>4</v>
          </cell>
          <cell r="J37">
            <v>0.77</v>
          </cell>
          <cell r="K37">
            <v>2400</v>
          </cell>
          <cell r="L37">
            <v>0.94</v>
          </cell>
          <cell r="M37" t="str">
            <v>ISL</v>
          </cell>
          <cell r="N37">
            <v>1</v>
          </cell>
          <cell r="O37">
            <v>96</v>
          </cell>
          <cell r="Q37">
            <v>30000</v>
          </cell>
          <cell r="R37">
            <v>3.25</v>
          </cell>
          <cell r="S37">
            <v>0.09</v>
          </cell>
        </row>
        <row r="38">
          <cell r="B38" t="str">
            <v>----------------------------</v>
          </cell>
          <cell r="C38">
            <v>1</v>
          </cell>
          <cell r="D38">
            <v>0.6</v>
          </cell>
        </row>
        <row r="39">
          <cell r="B39" t="str">
            <v>T5 Normal Light Output Lamps</v>
          </cell>
          <cell r="C39">
            <v>1</v>
          </cell>
          <cell r="D39">
            <v>0.8</v>
          </cell>
        </row>
        <row r="40">
          <cell r="B40" t="str">
            <v>----------------------------</v>
          </cell>
          <cell r="C40" t="str">
            <v>#</v>
          </cell>
          <cell r="D40" t="str">
            <v>#</v>
          </cell>
        </row>
        <row r="41">
          <cell r="B41" t="str">
            <v>New High Performance NLO T5, 2-4'  lamps with Normal Light Output ballast (New Fixture or Retrofit)</v>
          </cell>
          <cell r="C41">
            <v>58</v>
          </cell>
          <cell r="D41">
            <v>5234.5</v>
          </cell>
          <cell r="E41" t="str">
            <v>A2</v>
          </cell>
          <cell r="F41">
            <v>40</v>
          </cell>
          <cell r="G41" t="str">
            <v>RT5 or equivalent new fixture</v>
          </cell>
          <cell r="I41">
            <v>2</v>
          </cell>
          <cell r="J41">
            <v>0.95</v>
          </cell>
          <cell r="K41">
            <v>2900</v>
          </cell>
          <cell r="L41">
            <v>0.95</v>
          </cell>
          <cell r="M41" t="str">
            <v>ISN</v>
          </cell>
          <cell r="N41">
            <v>1.6379310344827587</v>
          </cell>
          <cell r="O41">
            <v>95</v>
          </cell>
          <cell r="Q41">
            <v>24000</v>
          </cell>
          <cell r="R41">
            <v>6</v>
          </cell>
          <cell r="S41">
            <v>0.09</v>
          </cell>
        </row>
        <row r="42">
          <cell r="B42" t="str">
            <v>=================================</v>
          </cell>
          <cell r="C42" t="str">
            <v>#</v>
          </cell>
          <cell r="D42" t="str">
            <v>#</v>
          </cell>
        </row>
        <row r="43">
          <cell r="B43" t="str">
            <v>RETROFIT HO/VHO T12 FIXTURES to T8 LAMPS &amp; BALLASTS</v>
          </cell>
          <cell r="C43">
            <v>1</v>
          </cell>
          <cell r="D43">
            <v>0.2</v>
          </cell>
        </row>
        <row r="44">
          <cell r="B44" t="str">
            <v>=================================</v>
          </cell>
          <cell r="C44">
            <v>1</v>
          </cell>
          <cell r="D44">
            <v>0.4</v>
          </cell>
        </row>
        <row r="45">
          <cell r="B45" t="str">
            <v>4 Lamp T8 4' with Normal Light Output ballast (Upgrade from T12 HO/VHO)</v>
          </cell>
          <cell r="C45">
            <v>108</v>
          </cell>
          <cell r="D45">
            <v>13665</v>
          </cell>
          <cell r="E45" t="str">
            <v>K2</v>
          </cell>
          <cell r="F45">
            <v>80</v>
          </cell>
          <cell r="G45" t="str">
            <v>Use 2-2 lamp HLO ballasts only if absolutely necessary</v>
          </cell>
          <cell r="I45">
            <v>4</v>
          </cell>
          <cell r="J45">
            <v>0.87</v>
          </cell>
          <cell r="K45">
            <v>3100</v>
          </cell>
          <cell r="L45">
            <v>0.95</v>
          </cell>
          <cell r="M45" t="str">
            <v>ISH</v>
          </cell>
          <cell r="N45">
            <v>0.80555555555555558</v>
          </cell>
          <cell r="O45">
            <v>99.888888888888886</v>
          </cell>
          <cell r="Q45">
            <v>30000</v>
          </cell>
          <cell r="R45">
            <v>3.25</v>
          </cell>
          <cell r="S45">
            <v>0.09</v>
          </cell>
        </row>
        <row r="46">
          <cell r="B46" t="str">
            <v>4 Lamp T8 4' with High Light Output ballast (Upgrade from T12 HO/VHO)</v>
          </cell>
          <cell r="C46">
            <v>148</v>
          </cell>
          <cell r="D46">
            <v>13546.999999999998</v>
          </cell>
          <cell r="E46" t="str">
            <v>K2</v>
          </cell>
          <cell r="F46">
            <v>80</v>
          </cell>
          <cell r="G46" t="str">
            <v>Use 2-2 lamp HLO ballasts only if absolutely necessary</v>
          </cell>
          <cell r="I46">
            <v>4</v>
          </cell>
          <cell r="J46">
            <v>1.1499999999999999</v>
          </cell>
          <cell r="K46">
            <v>3100</v>
          </cell>
          <cell r="L46">
            <v>0.95</v>
          </cell>
          <cell r="M46" t="str">
            <v>ISH</v>
          </cell>
          <cell r="N46">
            <v>0.77702702702702697</v>
          </cell>
          <cell r="O46">
            <v>96.35135135135134</v>
          </cell>
          <cell r="Q46">
            <v>30000</v>
          </cell>
          <cell r="R46">
            <v>3.25</v>
          </cell>
          <cell r="S46">
            <v>0.09</v>
          </cell>
        </row>
        <row r="47">
          <cell r="B47" t="str">
            <v>6 Lamp T8 4' with Reduced Light Output ballast (Upgrade from 8' T12)</v>
          </cell>
          <cell r="C47">
            <v>143</v>
          </cell>
          <cell r="D47">
            <v>15372.9</v>
          </cell>
          <cell r="E47" t="str">
            <v>K2</v>
          </cell>
          <cell r="F47">
            <v>80</v>
          </cell>
          <cell r="G47" t="str">
            <v>Use 2-2 lamp HLO ballasts only if absolutely necessary</v>
          </cell>
          <cell r="I47">
            <v>6</v>
          </cell>
          <cell r="J47">
            <v>0.87</v>
          </cell>
          <cell r="K47">
            <v>3100</v>
          </cell>
          <cell r="L47">
            <v>0.95</v>
          </cell>
          <cell r="M47" t="str">
            <v>ISH</v>
          </cell>
          <cell r="N47">
            <v>0.60839160839160844</v>
          </cell>
          <cell r="O47">
            <v>113.16083916083916</v>
          </cell>
          <cell r="Q47">
            <v>30000</v>
          </cell>
          <cell r="R47">
            <v>3.25</v>
          </cell>
          <cell r="S47">
            <v>0.09</v>
          </cell>
        </row>
        <row r="48">
          <cell r="B48" t="str">
            <v>6 Lamp T8 4' with Normal Light Output ballast (Upgrade from T12 HO/VHO)</v>
          </cell>
          <cell r="C48">
            <v>162</v>
          </cell>
          <cell r="D48">
            <v>15372.9</v>
          </cell>
          <cell r="E48" t="str">
            <v>K2</v>
          </cell>
          <cell r="F48">
            <v>80</v>
          </cell>
          <cell r="G48" t="str">
            <v>Use 2-2 lamp HLO ballasts only if absolutely necessary</v>
          </cell>
          <cell r="I48">
            <v>6</v>
          </cell>
          <cell r="J48">
            <v>0.87</v>
          </cell>
          <cell r="K48">
            <v>3100</v>
          </cell>
          <cell r="L48">
            <v>0.95</v>
          </cell>
          <cell r="M48" t="str">
            <v>ISH</v>
          </cell>
          <cell r="N48">
            <v>0.53703703703703709</v>
          </cell>
          <cell r="O48">
            <v>99.888888888888886</v>
          </cell>
          <cell r="Q48">
            <v>30000</v>
          </cell>
          <cell r="R48">
            <v>3.25</v>
          </cell>
          <cell r="S48">
            <v>0.09</v>
          </cell>
        </row>
        <row r="49">
          <cell r="B49" t="str">
            <v>6 Lamp T8 4' with High Light Output ballast (Upgrade from T12 HO/VHO)</v>
          </cell>
          <cell r="C49">
            <v>222</v>
          </cell>
          <cell r="D49">
            <v>21027.3</v>
          </cell>
          <cell r="E49" t="str">
            <v>K2</v>
          </cell>
          <cell r="F49">
            <v>80</v>
          </cell>
          <cell r="G49" t="str">
            <v xml:space="preserve">Use 2-4 lamp HLO ballasts only if absolutely necessary </v>
          </cell>
          <cell r="I49">
            <v>6</v>
          </cell>
          <cell r="J49">
            <v>1.19</v>
          </cell>
          <cell r="K49">
            <v>3100</v>
          </cell>
          <cell r="L49">
            <v>0.95</v>
          </cell>
          <cell r="M49" t="str">
            <v>ISH</v>
          </cell>
          <cell r="N49">
            <v>0.536036036036036</v>
          </cell>
          <cell r="O49">
            <v>99.702702702702709</v>
          </cell>
          <cell r="Q49">
            <v>30000</v>
          </cell>
          <cell r="R49">
            <v>3.25</v>
          </cell>
          <cell r="S49">
            <v>0.09</v>
          </cell>
        </row>
        <row r="50">
          <cell r="B50" t="str">
            <v>8 Lamp T8 4' with Normal Light Output ballast (Upgrade from T12 HO/VHO)</v>
          </cell>
          <cell r="C50">
            <v>216</v>
          </cell>
          <cell r="D50">
            <v>20497.2</v>
          </cell>
          <cell r="E50" t="str">
            <v>K2</v>
          </cell>
          <cell r="F50">
            <v>80</v>
          </cell>
          <cell r="G50" t="str">
            <v>Use 2-2 lamp HLO ballasts only if absolutely necessary</v>
          </cell>
          <cell r="I50">
            <v>8</v>
          </cell>
          <cell r="J50">
            <v>0.87</v>
          </cell>
          <cell r="K50">
            <v>3100</v>
          </cell>
          <cell r="L50">
            <v>0.95</v>
          </cell>
          <cell r="M50" t="str">
            <v>ISH</v>
          </cell>
          <cell r="N50">
            <v>0.40277777777777779</v>
          </cell>
          <cell r="O50">
            <v>99.888888888888886</v>
          </cell>
          <cell r="Q50">
            <v>30000</v>
          </cell>
          <cell r="R50">
            <v>3.25</v>
          </cell>
          <cell r="S50">
            <v>0.09</v>
          </cell>
        </row>
        <row r="51">
          <cell r="B51" t="str">
            <v>8 Lamp T8 4' with High Light Output ballast (Upgrade from T12 HO/VHO)</v>
          </cell>
          <cell r="C51">
            <v>296</v>
          </cell>
          <cell r="D51">
            <v>27093.999999999996</v>
          </cell>
          <cell r="E51" t="str">
            <v>K2</v>
          </cell>
          <cell r="F51">
            <v>80</v>
          </cell>
          <cell r="G51" t="str">
            <v>Use 2-2 lamp HLO ballasts only if absolutely necessary</v>
          </cell>
          <cell r="I51">
            <v>8</v>
          </cell>
          <cell r="J51">
            <v>1.1499999999999999</v>
          </cell>
          <cell r="K51">
            <v>3100</v>
          </cell>
          <cell r="L51">
            <v>0.95</v>
          </cell>
          <cell r="M51" t="str">
            <v>ISH</v>
          </cell>
          <cell r="N51">
            <v>0.38851351351351349</v>
          </cell>
          <cell r="O51">
            <v>96.35135135135134</v>
          </cell>
          <cell r="Q51">
            <v>30000</v>
          </cell>
          <cell r="R51">
            <v>3.25</v>
          </cell>
          <cell r="S51">
            <v>0.09</v>
          </cell>
        </row>
        <row r="52">
          <cell r="B52" t="str">
            <v>=================================</v>
          </cell>
          <cell r="C52" t="str">
            <v>#</v>
          </cell>
          <cell r="D52" t="str">
            <v>#</v>
          </cell>
        </row>
        <row r="53">
          <cell r="B53" t="str">
            <v>HIGH OUTPUT (high-bay) FLUORESCENT  (Install New Fixture)</v>
          </cell>
          <cell r="C53" t="str">
            <v>#</v>
          </cell>
          <cell r="D53" t="str">
            <v>#</v>
          </cell>
        </row>
        <row r="54">
          <cell r="B54" t="str">
            <v>=================================</v>
          </cell>
        </row>
        <row r="55">
          <cell r="B55" t="str">
            <v>High Output T5 New Fixtures</v>
          </cell>
        </row>
        <row r="56">
          <cell r="B56" t="str">
            <v>----------------------------</v>
          </cell>
        </row>
        <row r="57">
          <cell r="B57" t="str">
            <v>1 Lamp T5 High Output (high bay) New Fixture</v>
          </cell>
          <cell r="C57">
            <v>62</v>
          </cell>
          <cell r="D57">
            <v>4750</v>
          </cell>
          <cell r="E57" t="str">
            <v>H1</v>
          </cell>
          <cell r="F57">
            <v>120</v>
          </cell>
          <cell r="I57">
            <v>1</v>
          </cell>
          <cell r="J57">
            <v>1</v>
          </cell>
          <cell r="K57">
            <v>5000</v>
          </cell>
          <cell r="L57">
            <v>0.95</v>
          </cell>
          <cell r="M57" t="str">
            <v>PRS</v>
          </cell>
          <cell r="N57">
            <v>1.6129032258064515</v>
          </cell>
          <cell r="O57">
            <v>80.645161290322577</v>
          </cell>
          <cell r="Q57">
            <v>20000</v>
          </cell>
          <cell r="R57">
            <v>6</v>
          </cell>
          <cell r="S57">
            <v>0.09</v>
          </cell>
        </row>
        <row r="58">
          <cell r="B58" t="str">
            <v>2 Lamp T5 High Output (high bay) New Fixture</v>
          </cell>
          <cell r="C58">
            <v>118</v>
          </cell>
          <cell r="D58">
            <v>9500</v>
          </cell>
          <cell r="E58" t="str">
            <v>H1</v>
          </cell>
          <cell r="F58">
            <v>120</v>
          </cell>
          <cell r="I58">
            <v>2</v>
          </cell>
          <cell r="J58">
            <v>1</v>
          </cell>
          <cell r="K58">
            <v>5000</v>
          </cell>
          <cell r="L58">
            <v>0.95</v>
          </cell>
          <cell r="M58" t="str">
            <v>PRS</v>
          </cell>
          <cell r="N58">
            <v>0.84745762711864403</v>
          </cell>
          <cell r="O58">
            <v>84.745762711864401</v>
          </cell>
          <cell r="Q58">
            <v>20000</v>
          </cell>
          <cell r="R58">
            <v>6</v>
          </cell>
          <cell r="S58">
            <v>0.09</v>
          </cell>
        </row>
        <row r="59">
          <cell r="B59" t="str">
            <v>2 Lamp T5 High Output (high bay) New Fixture with fixture-mounted occupancy sensor (reduce proposed operating hours accordingly)</v>
          </cell>
          <cell r="C59">
            <v>118</v>
          </cell>
          <cell r="D59">
            <v>9500</v>
          </cell>
          <cell r="E59" t="str">
            <v>H1/J1</v>
          </cell>
          <cell r="F59">
            <v>155</v>
          </cell>
          <cell r="I59">
            <v>2</v>
          </cell>
          <cell r="J59">
            <v>1</v>
          </cell>
          <cell r="K59">
            <v>5000</v>
          </cell>
          <cell r="L59">
            <v>0.95</v>
          </cell>
          <cell r="M59" t="str">
            <v>PRS</v>
          </cell>
          <cell r="N59">
            <v>0.84745762711864403</v>
          </cell>
          <cell r="O59">
            <v>84.745762711864401</v>
          </cell>
          <cell r="Q59">
            <v>20000</v>
          </cell>
          <cell r="R59">
            <v>6</v>
          </cell>
          <cell r="S59">
            <v>0.09</v>
          </cell>
        </row>
        <row r="60">
          <cell r="B60" t="str">
            <v>3 Lamp T5 High Output (high bay) New Fixture</v>
          </cell>
          <cell r="C60">
            <v>179</v>
          </cell>
          <cell r="D60">
            <v>14250</v>
          </cell>
          <cell r="E60" t="str">
            <v>H2</v>
          </cell>
          <cell r="F60">
            <v>140</v>
          </cell>
          <cell r="I60">
            <v>3</v>
          </cell>
          <cell r="J60">
            <v>1</v>
          </cell>
          <cell r="K60">
            <v>5000</v>
          </cell>
          <cell r="L60">
            <v>0.95</v>
          </cell>
          <cell r="M60" t="str">
            <v>PRS</v>
          </cell>
          <cell r="N60">
            <v>0.55865921787709494</v>
          </cell>
          <cell r="O60">
            <v>83.798882681564251</v>
          </cell>
          <cell r="Q60">
            <v>20000</v>
          </cell>
          <cell r="R60">
            <v>6</v>
          </cell>
          <cell r="S60">
            <v>0.09</v>
          </cell>
        </row>
        <row r="61">
          <cell r="B61" t="str">
            <v>3 Lamp T5 High Output (high bay) New Fixture with fixture-mounted occupancy sensor (reduce proposed operating hours accordingly)</v>
          </cell>
          <cell r="C61">
            <v>179</v>
          </cell>
          <cell r="D61">
            <v>14250</v>
          </cell>
          <cell r="E61" t="str">
            <v>H2/J1</v>
          </cell>
          <cell r="F61">
            <v>175</v>
          </cell>
          <cell r="I61">
            <v>3</v>
          </cell>
          <cell r="J61">
            <v>1</v>
          </cell>
          <cell r="K61">
            <v>5000</v>
          </cell>
          <cell r="L61">
            <v>0.95</v>
          </cell>
          <cell r="M61" t="str">
            <v>PRS</v>
          </cell>
          <cell r="N61">
            <v>0.55865921787709494</v>
          </cell>
          <cell r="O61">
            <v>83.798882681564251</v>
          </cell>
          <cell r="Q61">
            <v>20000</v>
          </cell>
          <cell r="R61">
            <v>6</v>
          </cell>
          <cell r="S61">
            <v>0.09</v>
          </cell>
        </row>
        <row r="62">
          <cell r="B62" t="str">
            <v>4 Lamp T5 High Output (high bay) New Fixture</v>
          </cell>
          <cell r="C62">
            <v>234</v>
          </cell>
          <cell r="D62">
            <v>19000</v>
          </cell>
          <cell r="E62" t="str">
            <v>H3</v>
          </cell>
          <cell r="F62">
            <v>160</v>
          </cell>
          <cell r="I62">
            <v>4</v>
          </cell>
          <cell r="J62">
            <v>1</v>
          </cell>
          <cell r="K62">
            <v>5000</v>
          </cell>
          <cell r="L62">
            <v>0.95</v>
          </cell>
          <cell r="M62" t="str">
            <v>PRS</v>
          </cell>
          <cell r="N62">
            <v>0.42735042735042733</v>
          </cell>
          <cell r="O62">
            <v>85.470085470085465</v>
          </cell>
          <cell r="Q62">
            <v>20000</v>
          </cell>
          <cell r="R62">
            <v>6</v>
          </cell>
          <cell r="S62">
            <v>0.09</v>
          </cell>
        </row>
        <row r="63">
          <cell r="B63" t="str">
            <v>4 Lamp T5 High Output (high-bay) New Fixture with fixture-mounted occupancy sensor (reduce proposed operating hours accordingly)</v>
          </cell>
          <cell r="C63">
            <v>234</v>
          </cell>
          <cell r="D63">
            <v>19000</v>
          </cell>
          <cell r="E63" t="str">
            <v>H3/J2</v>
          </cell>
          <cell r="F63">
            <v>220</v>
          </cell>
          <cell r="G63">
            <v>0.11211676451402479</v>
          </cell>
          <cell r="I63">
            <v>4</v>
          </cell>
          <cell r="J63">
            <v>1</v>
          </cell>
          <cell r="K63">
            <v>5000</v>
          </cell>
          <cell r="L63">
            <v>0.95</v>
          </cell>
          <cell r="M63" t="str">
            <v>PRS</v>
          </cell>
          <cell r="N63">
            <v>0.42735042735042733</v>
          </cell>
          <cell r="O63">
            <v>85.470085470085465</v>
          </cell>
          <cell r="Q63">
            <v>20000</v>
          </cell>
          <cell r="R63">
            <v>6</v>
          </cell>
          <cell r="S63">
            <v>0.09</v>
          </cell>
        </row>
        <row r="64">
          <cell r="B64" t="str">
            <v>5 Lamp T5 High Output (high bay) New Fixture</v>
          </cell>
          <cell r="C64">
            <v>298</v>
          </cell>
          <cell r="D64">
            <v>23750</v>
          </cell>
          <cell r="E64" t="str">
            <v>H4</v>
          </cell>
          <cell r="F64">
            <v>180</v>
          </cell>
          <cell r="I64">
            <v>5</v>
          </cell>
          <cell r="J64">
            <v>1</v>
          </cell>
          <cell r="K64">
            <v>5000</v>
          </cell>
          <cell r="L64">
            <v>0.95</v>
          </cell>
          <cell r="M64" t="str">
            <v>PRS</v>
          </cell>
          <cell r="N64">
            <v>0.33557046979865773</v>
          </cell>
          <cell r="O64">
            <v>21.05263157894737</v>
          </cell>
          <cell r="Q64">
            <v>20000</v>
          </cell>
          <cell r="R64">
            <v>6</v>
          </cell>
          <cell r="S64">
            <v>0.09</v>
          </cell>
        </row>
        <row r="65">
          <cell r="B65" t="str">
            <v>6 Lamp T5 High Output (high bay) New Fixture</v>
          </cell>
          <cell r="C65">
            <v>352</v>
          </cell>
          <cell r="D65">
            <v>28500</v>
          </cell>
          <cell r="E65" t="str">
            <v>H4</v>
          </cell>
          <cell r="F65">
            <v>180</v>
          </cell>
          <cell r="I65">
            <v>6</v>
          </cell>
          <cell r="J65">
            <v>1</v>
          </cell>
          <cell r="K65">
            <v>5000</v>
          </cell>
          <cell r="L65">
            <v>0.95</v>
          </cell>
          <cell r="M65" t="str">
            <v>PRS</v>
          </cell>
          <cell r="N65">
            <v>0.28409090909090912</v>
          </cell>
          <cell r="O65">
            <v>17.543859649122808</v>
          </cell>
          <cell r="Q65">
            <v>20000</v>
          </cell>
          <cell r="R65">
            <v>6</v>
          </cell>
          <cell r="S65">
            <v>0.09</v>
          </cell>
        </row>
        <row r="66">
          <cell r="B66" t="str">
            <v>6 Lamp T5 High Output (high-bay) New Fixture with fixture-mounted occupancy sensor (reduce proposed operating hours accordingly)</v>
          </cell>
          <cell r="C66">
            <v>352</v>
          </cell>
          <cell r="D66">
            <v>28500</v>
          </cell>
          <cell r="E66" t="str">
            <v>H4/J2</v>
          </cell>
          <cell r="F66">
            <v>240</v>
          </cell>
          <cell r="I66">
            <v>6</v>
          </cell>
          <cell r="J66">
            <v>1</v>
          </cell>
          <cell r="K66">
            <v>5000</v>
          </cell>
          <cell r="L66">
            <v>0.95</v>
          </cell>
          <cell r="M66" t="str">
            <v>PRS</v>
          </cell>
          <cell r="N66">
            <v>0.28409090909090912</v>
          </cell>
          <cell r="O66">
            <v>17.543859649122808</v>
          </cell>
          <cell r="Q66">
            <v>20000</v>
          </cell>
          <cell r="R66">
            <v>6</v>
          </cell>
          <cell r="S66">
            <v>0.09</v>
          </cell>
        </row>
        <row r="67">
          <cell r="B67" t="str">
            <v>8 Lamp T5 High Output (high bay) New Fixture</v>
          </cell>
          <cell r="C67">
            <v>472</v>
          </cell>
          <cell r="D67">
            <v>38000</v>
          </cell>
          <cell r="E67" t="str">
            <v>H4</v>
          </cell>
          <cell r="F67">
            <v>180</v>
          </cell>
          <cell r="I67">
            <v>8</v>
          </cell>
          <cell r="J67">
            <v>1</v>
          </cell>
          <cell r="K67">
            <v>5000</v>
          </cell>
          <cell r="L67">
            <v>0.95</v>
          </cell>
          <cell r="M67" t="str">
            <v>PRS</v>
          </cell>
          <cell r="N67">
            <v>0.21186440677966101</v>
          </cell>
          <cell r="O67">
            <v>13.157894736842104</v>
          </cell>
          <cell r="Q67">
            <v>20000</v>
          </cell>
          <cell r="R67">
            <v>6</v>
          </cell>
          <cell r="S67">
            <v>0.09</v>
          </cell>
        </row>
        <row r="68">
          <cell r="B68" t="str">
            <v>12 Lamp T5 High Output (high bay) New Fixture</v>
          </cell>
          <cell r="C68">
            <v>704</v>
          </cell>
          <cell r="D68">
            <v>57000</v>
          </cell>
          <cell r="E68" t="str">
            <v>H4</v>
          </cell>
          <cell r="F68">
            <v>180</v>
          </cell>
          <cell r="I68">
            <v>12</v>
          </cell>
          <cell r="J68">
            <v>1</v>
          </cell>
          <cell r="K68">
            <v>5000</v>
          </cell>
          <cell r="L68">
            <v>0.95</v>
          </cell>
          <cell r="M68" t="str">
            <v>PRS</v>
          </cell>
          <cell r="N68">
            <v>0.14204545454545456</v>
          </cell>
          <cell r="O68">
            <v>8.7719298245614041</v>
          </cell>
          <cell r="Q68">
            <v>20000</v>
          </cell>
          <cell r="R68">
            <v>6</v>
          </cell>
          <cell r="S68">
            <v>0.09</v>
          </cell>
        </row>
        <row r="69">
          <cell r="B69" t="str">
            <v>2 Lamp T5 High Output (high-bay) fluorescent (Retrofit kit)</v>
          </cell>
          <cell r="C69">
            <v>118</v>
          </cell>
          <cell r="D69">
            <v>9500</v>
          </cell>
          <cell r="E69" t="str">
            <v>L1</v>
          </cell>
          <cell r="F69">
            <v>50</v>
          </cell>
          <cell r="I69">
            <v>2</v>
          </cell>
          <cell r="J69">
            <v>1</v>
          </cell>
          <cell r="K69">
            <v>5000</v>
          </cell>
          <cell r="L69">
            <v>0.95</v>
          </cell>
          <cell r="M69" t="str">
            <v>PRS</v>
          </cell>
          <cell r="N69">
            <v>0.84745762711864403</v>
          </cell>
          <cell r="O69">
            <v>84.745762711864401</v>
          </cell>
          <cell r="Q69">
            <v>20000</v>
          </cell>
          <cell r="R69">
            <v>6</v>
          </cell>
          <cell r="S69">
            <v>0.09</v>
          </cell>
        </row>
        <row r="70">
          <cell r="B70" t="str">
            <v>4 Lamp T5 High Output (high-bay) fluorescent (Retrofit kit)</v>
          </cell>
          <cell r="C70">
            <v>234</v>
          </cell>
          <cell r="D70">
            <v>19000</v>
          </cell>
          <cell r="E70" t="str">
            <v>L2</v>
          </cell>
          <cell r="F70">
            <v>100</v>
          </cell>
          <cell r="I70">
            <v>4</v>
          </cell>
          <cell r="J70">
            <v>1</v>
          </cell>
          <cell r="K70">
            <v>5000</v>
          </cell>
          <cell r="L70">
            <v>0.95</v>
          </cell>
          <cell r="M70" t="str">
            <v>PRS</v>
          </cell>
          <cell r="N70">
            <v>0.42735042735042733</v>
          </cell>
          <cell r="O70">
            <v>85.470085470085465</v>
          </cell>
          <cell r="Q70">
            <v>20000</v>
          </cell>
          <cell r="R70">
            <v>6</v>
          </cell>
          <cell r="S70">
            <v>0.09</v>
          </cell>
        </row>
        <row r="71">
          <cell r="B71" t="str">
            <v>----------------------------</v>
          </cell>
        </row>
        <row r="72">
          <cell r="B72" t="str">
            <v>High Output T8 New Fixtures</v>
          </cell>
        </row>
        <row r="73">
          <cell r="B73" t="str">
            <v>----------------------------</v>
          </cell>
        </row>
        <row r="74">
          <cell r="B74" t="str">
            <v>3 Lamp T8 4' High Output (high bay) New Fixture with Normal Light Output Ballast</v>
          </cell>
          <cell r="C74">
            <v>81</v>
          </cell>
          <cell r="D74">
            <v>7686.45</v>
          </cell>
          <cell r="E74" t="str">
            <v>H1</v>
          </cell>
          <cell r="F74">
            <v>120</v>
          </cell>
          <cell r="I74">
            <v>3</v>
          </cell>
          <cell r="J74">
            <v>0.87</v>
          </cell>
          <cell r="K74">
            <v>3100</v>
          </cell>
          <cell r="L74">
            <v>0.95</v>
          </cell>
          <cell r="M74" t="str">
            <v>ISH</v>
          </cell>
          <cell r="N74">
            <v>1.0740740740740742</v>
          </cell>
          <cell r="O74">
            <v>99.888888888888886</v>
          </cell>
          <cell r="Q74">
            <v>30000</v>
          </cell>
          <cell r="R74">
            <v>3.25</v>
          </cell>
          <cell r="S74">
            <v>0.09</v>
          </cell>
        </row>
        <row r="75">
          <cell r="B75" t="str">
            <v>3 Lamp T8 4' High Output (high bay) New Fixture with High Light Output Ballast</v>
          </cell>
          <cell r="C75">
            <v>111</v>
          </cell>
          <cell r="D75">
            <v>10160.25</v>
          </cell>
          <cell r="E75" t="str">
            <v>H1</v>
          </cell>
          <cell r="F75">
            <v>120</v>
          </cell>
          <cell r="I75">
            <v>3</v>
          </cell>
          <cell r="J75">
            <v>1.1499999999999999</v>
          </cell>
          <cell r="K75">
            <v>3100</v>
          </cell>
          <cell r="L75">
            <v>0.95</v>
          </cell>
          <cell r="M75" t="str">
            <v>ISH</v>
          </cell>
          <cell r="N75">
            <v>1.0360360360360359</v>
          </cell>
          <cell r="O75">
            <v>96.351351351351354</v>
          </cell>
          <cell r="Q75">
            <v>30000</v>
          </cell>
          <cell r="R75">
            <v>3.25</v>
          </cell>
          <cell r="S75">
            <v>0.09</v>
          </cell>
        </row>
        <row r="76">
          <cell r="B76" t="str">
            <v>4 Lamp T8 4' High Output (high bay) New Fixture with Normal Light Output Ballast</v>
          </cell>
          <cell r="C76">
            <v>108</v>
          </cell>
          <cell r="D76">
            <v>10248.6</v>
          </cell>
          <cell r="E76" t="str">
            <v>H1</v>
          </cell>
          <cell r="F76">
            <v>120</v>
          </cell>
          <cell r="I76">
            <v>4</v>
          </cell>
          <cell r="J76">
            <v>0.87</v>
          </cell>
          <cell r="K76">
            <v>3100</v>
          </cell>
          <cell r="L76">
            <v>0.95</v>
          </cell>
          <cell r="M76" t="str">
            <v>ISH</v>
          </cell>
          <cell r="N76">
            <v>0.80555555555555558</v>
          </cell>
          <cell r="O76">
            <v>99.888888888888886</v>
          </cell>
          <cell r="Q76">
            <v>30000</v>
          </cell>
          <cell r="R76">
            <v>3.25</v>
          </cell>
          <cell r="S76">
            <v>0.09</v>
          </cell>
        </row>
        <row r="77">
          <cell r="B77" t="str">
            <v>4 Lamp T8 4' High Output (high bay) New Fixture with High Light Output Ballast</v>
          </cell>
          <cell r="C77">
            <v>148</v>
          </cell>
          <cell r="D77">
            <v>13546.999999999998</v>
          </cell>
          <cell r="E77" t="str">
            <v>H2</v>
          </cell>
          <cell r="F77">
            <v>140</v>
          </cell>
          <cell r="I77">
            <v>4</v>
          </cell>
          <cell r="J77">
            <v>1.1499999999999999</v>
          </cell>
          <cell r="K77">
            <v>3100</v>
          </cell>
          <cell r="L77">
            <v>0.95</v>
          </cell>
          <cell r="M77" t="str">
            <v>ISH</v>
          </cell>
          <cell r="N77">
            <v>0.77702702702702697</v>
          </cell>
          <cell r="O77">
            <v>96.35135135135134</v>
          </cell>
          <cell r="Q77">
            <v>30000</v>
          </cell>
          <cell r="R77">
            <v>3.25</v>
          </cell>
          <cell r="S77">
            <v>0.09</v>
          </cell>
        </row>
        <row r="78">
          <cell r="B78" t="str">
            <v>6 Lamp T8 4' High Output (high bay) New Fixture with Normal Light Output Ballast</v>
          </cell>
          <cell r="C78">
            <v>162</v>
          </cell>
          <cell r="D78">
            <v>15372.9</v>
          </cell>
          <cell r="E78" t="str">
            <v>H2</v>
          </cell>
          <cell r="F78">
            <v>140</v>
          </cell>
          <cell r="I78">
            <v>6</v>
          </cell>
          <cell r="J78">
            <v>0.87</v>
          </cell>
          <cell r="K78">
            <v>3100</v>
          </cell>
          <cell r="L78">
            <v>0.95</v>
          </cell>
          <cell r="M78" t="str">
            <v>ISH</v>
          </cell>
          <cell r="N78">
            <v>0.53703703703703709</v>
          </cell>
          <cell r="O78">
            <v>99.888888888888886</v>
          </cell>
          <cell r="Q78">
            <v>30000</v>
          </cell>
          <cell r="R78">
            <v>3.25</v>
          </cell>
          <cell r="S78">
            <v>0.09</v>
          </cell>
        </row>
        <row r="79">
          <cell r="B79" t="str">
            <v>6 Lamp T8 4' High Output (high bay) New Fixture with High Light Output Ballast</v>
          </cell>
          <cell r="C79">
            <v>222</v>
          </cell>
          <cell r="D79">
            <v>21027.3</v>
          </cell>
          <cell r="E79" t="str">
            <v>H3</v>
          </cell>
          <cell r="F79">
            <v>160</v>
          </cell>
          <cell r="I79">
            <v>6</v>
          </cell>
          <cell r="J79">
            <v>1.19</v>
          </cell>
          <cell r="K79">
            <v>3100</v>
          </cell>
          <cell r="L79">
            <v>0.95</v>
          </cell>
          <cell r="M79" t="str">
            <v>ISH</v>
          </cell>
          <cell r="N79">
            <v>0.536036036036036</v>
          </cell>
          <cell r="O79">
            <v>99.702702702702709</v>
          </cell>
          <cell r="Q79">
            <v>30000</v>
          </cell>
          <cell r="R79">
            <v>3.25</v>
          </cell>
          <cell r="S79">
            <v>0.09</v>
          </cell>
        </row>
        <row r="80">
          <cell r="B80" t="str">
            <v>8 Lamp T8 4' High Output (high bay) New Fixture with Normal Light Output Ballast</v>
          </cell>
          <cell r="C80">
            <v>216</v>
          </cell>
          <cell r="D80">
            <v>20497.2</v>
          </cell>
          <cell r="E80" t="str">
            <v>H3</v>
          </cell>
          <cell r="F80">
            <v>160</v>
          </cell>
          <cell r="I80">
            <v>8</v>
          </cell>
          <cell r="J80">
            <v>0.87</v>
          </cell>
          <cell r="K80">
            <v>3100</v>
          </cell>
          <cell r="L80">
            <v>0.95</v>
          </cell>
          <cell r="M80" t="str">
            <v>ISH</v>
          </cell>
          <cell r="N80">
            <v>0.40277777777777779</v>
          </cell>
          <cell r="O80">
            <v>99.888888888888886</v>
          </cell>
          <cell r="Q80">
            <v>30000</v>
          </cell>
          <cell r="R80">
            <v>3.25</v>
          </cell>
          <cell r="S80">
            <v>0.09</v>
          </cell>
        </row>
        <row r="81">
          <cell r="B81" t="str">
            <v>8 Lamp T8 4' High Output (high bay) New Fixture with High Light Output Ballast</v>
          </cell>
          <cell r="C81">
            <v>296</v>
          </cell>
          <cell r="D81">
            <v>27093.999999999996</v>
          </cell>
          <cell r="E81" t="str">
            <v>H4</v>
          </cell>
          <cell r="F81">
            <v>180</v>
          </cell>
          <cell r="I81">
            <v>8</v>
          </cell>
          <cell r="J81">
            <v>1.1499999999999999</v>
          </cell>
          <cell r="K81">
            <v>3100</v>
          </cell>
          <cell r="L81">
            <v>0.95</v>
          </cell>
          <cell r="M81" t="str">
            <v>ISH</v>
          </cell>
          <cell r="N81">
            <v>0.38851351351351349</v>
          </cell>
          <cell r="O81">
            <v>96.35135135135134</v>
          </cell>
          <cell r="Q81">
            <v>30000</v>
          </cell>
          <cell r="R81">
            <v>3.25</v>
          </cell>
          <cell r="S81">
            <v>0.09</v>
          </cell>
        </row>
        <row r="82">
          <cell r="B82" t="str">
            <v>=================================</v>
          </cell>
        </row>
        <row r="83">
          <cell r="B83" t="str">
            <v>STANDARD T8 or T5 LAMP and BALLAST (New Fixture or Retrofit)</v>
          </cell>
        </row>
        <row r="84">
          <cell r="B84" t="str">
            <v>=================================</v>
          </cell>
        </row>
        <row r="85">
          <cell r="B85" t="str">
            <v xml:space="preserve">1 Lamp </v>
          </cell>
        </row>
        <row r="86">
          <cell r="B86" t="str">
            <v>----------------------------</v>
          </cell>
        </row>
        <row r="87">
          <cell r="B87" t="str">
            <v>Standard 2' T8 1 lamp 17 Watt 80+CRI lamp,  (1-F17T8)</v>
          </cell>
          <cell r="C87">
            <v>16</v>
          </cell>
          <cell r="D87">
            <v>1102.5</v>
          </cell>
          <cell r="E87" t="str">
            <v>B1</v>
          </cell>
          <cell r="F87">
            <v>10</v>
          </cell>
          <cell r="G87" t="str">
            <v>use high performance T8 for better results</v>
          </cell>
          <cell r="Q87">
            <v>24000</v>
          </cell>
          <cell r="R87">
            <v>2.5</v>
          </cell>
          <cell r="S87">
            <v>0.09</v>
          </cell>
        </row>
        <row r="88">
          <cell r="B88" t="str">
            <v>Standard 4' T8 1 lamp 32 Watt 80+CRI lamp with Reduced Light Output ballast, (1-F32T8)</v>
          </cell>
          <cell r="C88">
            <v>27</v>
          </cell>
          <cell r="D88">
            <v>1991.25</v>
          </cell>
          <cell r="E88" t="str">
            <v>B1</v>
          </cell>
          <cell r="F88">
            <v>10</v>
          </cell>
          <cell r="G88" t="str">
            <v>use high performance T8 for better results</v>
          </cell>
          <cell r="Q88">
            <v>24000</v>
          </cell>
          <cell r="R88">
            <v>2.5</v>
          </cell>
          <cell r="S88">
            <v>0.09</v>
          </cell>
        </row>
        <row r="89">
          <cell r="B89" t="str">
            <v>Standard 4' T8 1 lamp 32 Watt 80+CRI lamp with Normal Light Output ballast, (1-F32T8)</v>
          </cell>
          <cell r="C89">
            <v>31</v>
          </cell>
          <cell r="D89">
            <v>2400</v>
          </cell>
          <cell r="E89" t="str">
            <v>B1</v>
          </cell>
          <cell r="F89">
            <v>10</v>
          </cell>
          <cell r="G89" t="str">
            <v>use high performance T8 for better results</v>
          </cell>
          <cell r="Q89">
            <v>24000</v>
          </cell>
          <cell r="R89">
            <v>2.5</v>
          </cell>
          <cell r="S89">
            <v>0.09</v>
          </cell>
        </row>
        <row r="90">
          <cell r="B90" t="str">
            <v>----------------------------</v>
          </cell>
        </row>
        <row r="91">
          <cell r="B91" t="str">
            <v>2 Lamp</v>
          </cell>
        </row>
        <row r="92">
          <cell r="B92" t="str">
            <v>----------------------------</v>
          </cell>
        </row>
        <row r="93">
          <cell r="B93" t="str">
            <v>Standard 4' T8 2 lamp 32 Watt 80+CRI lamp with Very Reduced Light Output ballast, (2-F32T8)</v>
          </cell>
          <cell r="C93">
            <v>51</v>
          </cell>
          <cell r="D93">
            <v>4315.8499999999995</v>
          </cell>
          <cell r="E93" t="str">
            <v>B2</v>
          </cell>
          <cell r="F93">
            <v>20</v>
          </cell>
          <cell r="G93" t="str">
            <v>use high performance T8 for better results</v>
          </cell>
          <cell r="I93">
            <v>2</v>
          </cell>
          <cell r="J93">
            <v>0.77</v>
          </cell>
          <cell r="K93">
            <v>2950</v>
          </cell>
          <cell r="L93">
            <v>0.95</v>
          </cell>
          <cell r="M93" t="str">
            <v>ISL</v>
          </cell>
          <cell r="N93">
            <v>1.5098039215686274</v>
          </cell>
          <cell r="O93">
            <v>89.078431372549019</v>
          </cell>
          <cell r="Q93">
            <v>24000</v>
          </cell>
          <cell r="R93">
            <v>2.5</v>
          </cell>
          <cell r="S93">
            <v>0.09</v>
          </cell>
        </row>
        <row r="94">
          <cell r="B94" t="str">
            <v>Standard 4' T8 2 lamp 32 Watt 80+CRI lamp with Reduced Light Output ballast, (2-F32T8)</v>
          </cell>
          <cell r="C94">
            <v>55</v>
          </cell>
          <cell r="D94">
            <v>4371.8999999999996</v>
          </cell>
          <cell r="E94" t="str">
            <v>B2</v>
          </cell>
          <cell r="F94">
            <v>20</v>
          </cell>
          <cell r="G94" t="str">
            <v>use high performance T8 for better results</v>
          </cell>
          <cell r="I94">
            <v>2</v>
          </cell>
          <cell r="J94">
            <v>0.78</v>
          </cell>
          <cell r="K94">
            <v>2950</v>
          </cell>
          <cell r="L94">
            <v>0.95</v>
          </cell>
          <cell r="M94" t="str">
            <v>ISL</v>
          </cell>
          <cell r="N94">
            <v>1.4181818181818182</v>
          </cell>
          <cell r="O94">
            <v>83.672727272727272</v>
          </cell>
          <cell r="Q94">
            <v>24000</v>
          </cell>
          <cell r="R94">
            <v>2.5</v>
          </cell>
          <cell r="S94">
            <v>0.09</v>
          </cell>
        </row>
        <row r="95">
          <cell r="B95" t="str">
            <v>Standard 4' T8 2 lamp 32 Watt 80+CRI lamp with Normal Light Output ballast, (2-F32T8)</v>
          </cell>
          <cell r="C95">
            <v>59</v>
          </cell>
          <cell r="D95">
            <v>4932.3999999999996</v>
          </cell>
          <cell r="E95" t="str">
            <v>B2</v>
          </cell>
          <cell r="F95">
            <v>20</v>
          </cell>
          <cell r="G95" t="str">
            <v>use high performance T8 for better results</v>
          </cell>
          <cell r="I95">
            <v>2</v>
          </cell>
          <cell r="J95">
            <v>0.88</v>
          </cell>
          <cell r="K95">
            <v>2950</v>
          </cell>
          <cell r="L95">
            <v>0.95</v>
          </cell>
          <cell r="M95" t="str">
            <v>ISN</v>
          </cell>
          <cell r="N95">
            <v>1.4915254237288136</v>
          </cell>
          <cell r="O95">
            <v>88</v>
          </cell>
          <cell r="Q95">
            <v>24000</v>
          </cell>
          <cell r="R95">
            <v>2.5</v>
          </cell>
          <cell r="S95">
            <v>0.09</v>
          </cell>
        </row>
        <row r="96">
          <cell r="B96" t="str">
            <v>Standard T8 Stairwell or Parking Lot Light,  4' T8 2 lamp 32 Watt 80+CRI lamp with Normal Light Output ballast and fixture-mounted occupancy sensor (reduce proposed operating hours accordingly)</v>
          </cell>
          <cell r="C96">
            <v>65</v>
          </cell>
          <cell r="D96">
            <v>4932.3999999999996</v>
          </cell>
          <cell r="E96" t="str">
            <v>B2/J1</v>
          </cell>
          <cell r="F96">
            <v>55</v>
          </cell>
          <cell r="G96" t="str">
            <v>Stairwell or parking garage new fixture  (includes a light that is on 24/7)</v>
          </cell>
          <cell r="I96">
            <v>2</v>
          </cell>
          <cell r="J96">
            <v>0.88</v>
          </cell>
          <cell r="K96">
            <v>2950</v>
          </cell>
          <cell r="L96">
            <v>0.95</v>
          </cell>
          <cell r="M96" t="str">
            <v>ISN</v>
          </cell>
          <cell r="N96">
            <v>1.3538461538461539</v>
          </cell>
          <cell r="O96">
            <v>79.876923076923077</v>
          </cell>
          <cell r="Q96">
            <v>24000</v>
          </cell>
          <cell r="R96">
            <v>2.5</v>
          </cell>
          <cell r="S96">
            <v>0.09</v>
          </cell>
        </row>
        <row r="97">
          <cell r="B97" t="str">
            <v>Standard 8' T8 2 lamp 59 Watt 80+CRI lamp with Normal Light Output ballast, (2-F96T8)</v>
          </cell>
          <cell r="C97">
            <v>105</v>
          </cell>
          <cell r="D97">
            <v>9027</v>
          </cell>
          <cell r="E97" t="str">
            <v>B2</v>
          </cell>
          <cell r="F97">
            <v>20</v>
          </cell>
          <cell r="G97" t="str">
            <v>use high performance T8 for better results</v>
          </cell>
          <cell r="Q97">
            <v>24000</v>
          </cell>
          <cell r="R97">
            <v>2.5</v>
          </cell>
          <cell r="S97">
            <v>0.09</v>
          </cell>
        </row>
        <row r="98">
          <cell r="B98" t="str">
            <v>----------------------------</v>
          </cell>
        </row>
        <row r="99">
          <cell r="B99" t="str">
            <v>3 Lamp</v>
          </cell>
        </row>
        <row r="100">
          <cell r="B100" t="str">
            <v>----------------------------</v>
          </cell>
        </row>
        <row r="101">
          <cell r="B101" t="str">
            <v>Standard 4' T8 3 lamp 32 Watt 80+CRI lamp with Reduced Light Output ballast, (3-F32T8)</v>
          </cell>
          <cell r="C101">
            <v>80</v>
          </cell>
          <cell r="D101">
            <v>5973.75</v>
          </cell>
          <cell r="E101" t="str">
            <v>B2</v>
          </cell>
          <cell r="F101">
            <v>20</v>
          </cell>
          <cell r="G101" t="str">
            <v>use high performance T8 for better results</v>
          </cell>
          <cell r="Q101">
            <v>24000</v>
          </cell>
          <cell r="R101">
            <v>2.5</v>
          </cell>
          <cell r="S101">
            <v>0.09</v>
          </cell>
        </row>
        <row r="102">
          <cell r="B102" t="str">
            <v>Standard 4' T8 3 lamp 32 Watt 80+CRI lamp with Normal Light Output ballast, (3-F32T8)</v>
          </cell>
          <cell r="C102">
            <v>90</v>
          </cell>
          <cell r="D102">
            <v>6969.375</v>
          </cell>
          <cell r="E102" t="str">
            <v>B2</v>
          </cell>
          <cell r="F102">
            <v>20</v>
          </cell>
          <cell r="G102" t="str">
            <v>use high performance T8 for better results</v>
          </cell>
          <cell r="Q102">
            <v>24000</v>
          </cell>
          <cell r="R102">
            <v>2.5</v>
          </cell>
          <cell r="S102">
            <v>0.09</v>
          </cell>
        </row>
        <row r="103">
          <cell r="B103" t="str">
            <v>----------------------------</v>
          </cell>
        </row>
        <row r="104">
          <cell r="B104" t="str">
            <v>4 Lamp</v>
          </cell>
        </row>
        <row r="105">
          <cell r="B105" t="str">
            <v>----------------------------</v>
          </cell>
        </row>
        <row r="106">
          <cell r="B106" t="str">
            <v>Standard 4' T8 4 lamp 32 Watt 80+CRI lamp with Reduced Light Output ballast, (4-F32T8)</v>
          </cell>
          <cell r="C106">
            <v>98</v>
          </cell>
          <cell r="D106">
            <v>7728</v>
          </cell>
          <cell r="E106" t="str">
            <v>B2</v>
          </cell>
          <cell r="F106">
            <v>20</v>
          </cell>
          <cell r="G106" t="str">
            <v>use high performance T8 for better results</v>
          </cell>
          <cell r="Q106">
            <v>24000</v>
          </cell>
          <cell r="R106">
            <v>2.5</v>
          </cell>
          <cell r="S106">
            <v>0.09</v>
          </cell>
        </row>
        <row r="107">
          <cell r="B107" t="str">
            <v>Standard 4' T8 4 lamp 32 Watt 80+CRI lamp with Normal Light Output ballast, (4-F32T8)</v>
          </cell>
          <cell r="C107">
            <v>114</v>
          </cell>
          <cell r="D107">
            <v>9292.5</v>
          </cell>
          <cell r="E107" t="str">
            <v>B2</v>
          </cell>
          <cell r="F107">
            <v>20</v>
          </cell>
          <cell r="G107" t="str">
            <v>use high performance T8 for better results</v>
          </cell>
          <cell r="Q107">
            <v>24000</v>
          </cell>
          <cell r="R107">
            <v>2.5</v>
          </cell>
          <cell r="S107">
            <v>0.09</v>
          </cell>
        </row>
        <row r="108">
          <cell r="B108" t="str">
            <v>=================================</v>
          </cell>
        </row>
        <row r="109">
          <cell r="B109" t="str">
            <v>HARDWIRED COMPACT FLUORESCENT New Fixture or Retrofit kit (includes GU-24)</v>
          </cell>
        </row>
        <row r="110">
          <cell r="B110" t="str">
            <v>=================================</v>
          </cell>
        </row>
        <row r="111">
          <cell r="B111" t="str">
            <v>Hard-Wired CFL, 1-13 Watt Lamp (new fixture)</v>
          </cell>
          <cell r="C111">
            <v>16</v>
          </cell>
          <cell r="D111">
            <v>765</v>
          </cell>
          <cell r="E111" t="str">
            <v>C1</v>
          </cell>
          <cell r="F111">
            <v>40</v>
          </cell>
          <cell r="G111" t="str">
            <v>includes GU-24</v>
          </cell>
          <cell r="Q111">
            <v>10000</v>
          </cell>
          <cell r="R111">
            <v>1.91</v>
          </cell>
          <cell r="S111">
            <v>0.09</v>
          </cell>
        </row>
        <row r="112">
          <cell r="B112" t="str">
            <v>Hard-Wired CFL, 1-18 Watt Lamp (new fixture)</v>
          </cell>
          <cell r="C112">
            <v>19</v>
          </cell>
          <cell r="D112">
            <v>1062.5</v>
          </cell>
          <cell r="E112" t="str">
            <v>C1</v>
          </cell>
          <cell r="F112">
            <v>40</v>
          </cell>
          <cell r="G112" t="str">
            <v>includes GU-24</v>
          </cell>
          <cell r="Q112">
            <v>10000</v>
          </cell>
          <cell r="R112">
            <v>1.91</v>
          </cell>
          <cell r="S112">
            <v>0.09</v>
          </cell>
        </row>
        <row r="113">
          <cell r="B113" t="str">
            <v>Hard-Wired CFL, 1-26 Watt Lamp (new fixture)</v>
          </cell>
          <cell r="C113">
            <v>27</v>
          </cell>
          <cell r="D113">
            <v>1530</v>
          </cell>
          <cell r="E113" t="str">
            <v>C1</v>
          </cell>
          <cell r="F113">
            <v>40</v>
          </cell>
          <cell r="G113" t="str">
            <v>includes GU-24</v>
          </cell>
          <cell r="Q113">
            <v>10000</v>
          </cell>
          <cell r="R113">
            <v>3.3</v>
          </cell>
          <cell r="S113">
            <v>0.09</v>
          </cell>
        </row>
        <row r="114">
          <cell r="B114" t="str">
            <v>Hard-Wired CFL, 1-32 Watt Lamp (new fixture)</v>
          </cell>
          <cell r="C114">
            <v>33</v>
          </cell>
          <cell r="D114">
            <v>2040</v>
          </cell>
          <cell r="E114" t="str">
            <v>C1</v>
          </cell>
          <cell r="F114">
            <v>40</v>
          </cell>
          <cell r="G114" t="str">
            <v>includes GU-24</v>
          </cell>
          <cell r="Q114">
            <v>10000</v>
          </cell>
          <cell r="R114">
            <v>5.2</v>
          </cell>
          <cell r="S114">
            <v>0.09</v>
          </cell>
        </row>
        <row r="115">
          <cell r="B115" t="str">
            <v>Hard-Wired CFL, 1-42 Watt Lamp (new fixture)</v>
          </cell>
          <cell r="C115">
            <v>43</v>
          </cell>
          <cell r="D115">
            <v>2720</v>
          </cell>
          <cell r="E115" t="str">
            <v>C1</v>
          </cell>
          <cell r="F115">
            <v>40</v>
          </cell>
          <cell r="G115" t="str">
            <v>includes GU-24</v>
          </cell>
          <cell r="Q115">
            <v>10000</v>
          </cell>
          <cell r="R115">
            <v>5.5</v>
          </cell>
          <cell r="S115">
            <v>0.09</v>
          </cell>
        </row>
        <row r="116">
          <cell r="B116" t="str">
            <v>----------------------------</v>
          </cell>
        </row>
        <row r="117">
          <cell r="B117" t="str">
            <v>Hard-Wired CFL,  2-13 Watt Lamps (new fixture)</v>
          </cell>
          <cell r="C117">
            <v>29</v>
          </cell>
          <cell r="D117">
            <v>1530</v>
          </cell>
          <cell r="E117" t="str">
            <v>C1</v>
          </cell>
          <cell r="F117">
            <v>40</v>
          </cell>
          <cell r="G117" t="str">
            <v>includes GU-24</v>
          </cell>
          <cell r="Q117">
            <v>10000</v>
          </cell>
          <cell r="R117">
            <v>1.91</v>
          </cell>
          <cell r="S117">
            <v>0.09</v>
          </cell>
        </row>
        <row r="118">
          <cell r="B118" t="str">
            <v>Hard-Wired CFL,  2-18 Watt Lamps (new fixture)</v>
          </cell>
          <cell r="C118">
            <v>38</v>
          </cell>
          <cell r="D118">
            <v>2125</v>
          </cell>
          <cell r="E118" t="str">
            <v>C1</v>
          </cell>
          <cell r="F118">
            <v>40</v>
          </cell>
          <cell r="G118" t="str">
            <v>includes GU-24</v>
          </cell>
          <cell r="Q118">
            <v>10000</v>
          </cell>
          <cell r="R118">
            <v>1.91</v>
          </cell>
          <cell r="S118">
            <v>0.09</v>
          </cell>
        </row>
        <row r="119">
          <cell r="B119" t="str">
            <v>Hard-Wired CFL,  2-26 Watt Lamps (new fixture)</v>
          </cell>
          <cell r="C119">
            <v>54</v>
          </cell>
          <cell r="D119">
            <v>3060</v>
          </cell>
          <cell r="E119" t="str">
            <v>C2</v>
          </cell>
          <cell r="F119">
            <v>80</v>
          </cell>
          <cell r="G119" t="str">
            <v>includes GU-24</v>
          </cell>
          <cell r="Q119">
            <v>10000</v>
          </cell>
          <cell r="R119">
            <v>3.3</v>
          </cell>
          <cell r="S119">
            <v>0.09</v>
          </cell>
        </row>
        <row r="120">
          <cell r="B120" t="str">
            <v>Hard-Wired CFL,  2-28 Watt Lamps (new fixture)</v>
          </cell>
          <cell r="C120">
            <v>58</v>
          </cell>
          <cell r="D120">
            <v>2965.14</v>
          </cell>
          <cell r="E120" t="str">
            <v>C2</v>
          </cell>
          <cell r="F120">
            <v>80</v>
          </cell>
          <cell r="G120" t="str">
            <v>includes GU-24</v>
          </cell>
          <cell r="Q120">
            <v>10000</v>
          </cell>
          <cell r="R120">
            <v>3.3</v>
          </cell>
          <cell r="S120">
            <v>0.09</v>
          </cell>
        </row>
        <row r="121">
          <cell r="B121" t="str">
            <v>Hard-Wired CFL,  2-32 Watt Lamps (new fixture)</v>
          </cell>
          <cell r="C121">
            <v>68</v>
          </cell>
          <cell r="D121">
            <v>3398.13</v>
          </cell>
          <cell r="E121" t="str">
            <v>C2</v>
          </cell>
          <cell r="F121">
            <v>80</v>
          </cell>
          <cell r="G121" t="str">
            <v>includes GU-24</v>
          </cell>
          <cell r="Q121">
            <v>10000</v>
          </cell>
          <cell r="R121">
            <v>5.2</v>
          </cell>
          <cell r="S121">
            <v>0.09</v>
          </cell>
        </row>
        <row r="122">
          <cell r="B122" t="str">
            <v>Hard-Wired CFL,  2-42 Watt Lamps (new fixture)</v>
          </cell>
          <cell r="C122">
            <v>93</v>
          </cell>
          <cell r="D122">
            <v>5440</v>
          </cell>
          <cell r="E122" t="str">
            <v>C2</v>
          </cell>
          <cell r="F122">
            <v>80</v>
          </cell>
          <cell r="G122" t="str">
            <v>includes GU-24</v>
          </cell>
          <cell r="Q122">
            <v>10000</v>
          </cell>
          <cell r="R122">
            <v>5.5</v>
          </cell>
          <cell r="S122">
            <v>0.09</v>
          </cell>
        </row>
        <row r="123">
          <cell r="B123" t="str">
            <v>----------------------------</v>
          </cell>
        </row>
        <row r="124">
          <cell r="B124" t="str">
            <v>Hard-Wired CFL,  4-13 Watt Lamps (new fixture)</v>
          </cell>
          <cell r="C124">
            <v>58</v>
          </cell>
          <cell r="D124">
            <v>3060</v>
          </cell>
          <cell r="E124" t="str">
            <v>C2</v>
          </cell>
          <cell r="F124">
            <v>80</v>
          </cell>
          <cell r="G124" t="str">
            <v>includes GU-24</v>
          </cell>
          <cell r="Q124">
            <v>10000</v>
          </cell>
          <cell r="R124">
            <v>1.91</v>
          </cell>
          <cell r="S124">
            <v>0.09</v>
          </cell>
        </row>
        <row r="125">
          <cell r="B125" t="str">
            <v>Hard-Wired CFL,  4-18 Watt Lamps (new fixture)</v>
          </cell>
          <cell r="C125">
            <v>76</v>
          </cell>
          <cell r="D125">
            <v>4250</v>
          </cell>
          <cell r="E125" t="str">
            <v>C2</v>
          </cell>
          <cell r="F125">
            <v>80</v>
          </cell>
          <cell r="G125" t="str">
            <v>includes GU-24</v>
          </cell>
          <cell r="Q125">
            <v>10000</v>
          </cell>
          <cell r="R125">
            <v>1.91</v>
          </cell>
          <cell r="S125">
            <v>0.09</v>
          </cell>
        </row>
        <row r="126">
          <cell r="B126" t="str">
            <v>Hard-Wired CFL,  4-26 Watt Lamps (new fixture)</v>
          </cell>
          <cell r="C126">
            <v>108</v>
          </cell>
          <cell r="D126">
            <v>6120</v>
          </cell>
          <cell r="E126" t="str">
            <v>C2</v>
          </cell>
          <cell r="F126">
            <v>80</v>
          </cell>
          <cell r="G126" t="str">
            <v>includes GU-24</v>
          </cell>
          <cell r="Q126">
            <v>10000</v>
          </cell>
          <cell r="R126">
            <v>3.3</v>
          </cell>
          <cell r="S126">
            <v>0.09</v>
          </cell>
        </row>
        <row r="127">
          <cell r="B127" t="str">
            <v>Hard-Wired CFL,  4-42 Watt Lamps (new fixture)</v>
          </cell>
          <cell r="C127">
            <v>186</v>
          </cell>
          <cell r="D127">
            <v>10880</v>
          </cell>
          <cell r="E127" t="str">
            <v>C2</v>
          </cell>
          <cell r="F127">
            <v>80</v>
          </cell>
          <cell r="G127" t="str">
            <v>includes GU-24</v>
          </cell>
          <cell r="Q127">
            <v>10000</v>
          </cell>
          <cell r="R127">
            <v>5.5</v>
          </cell>
          <cell r="S127">
            <v>0.09</v>
          </cell>
        </row>
        <row r="128">
          <cell r="B128" t="str">
            <v>=================================</v>
          </cell>
        </row>
        <row r="129">
          <cell r="B129" t="str">
            <v>CERAMIC METAL HALIDE  (New Fixture)</v>
          </cell>
        </row>
        <row r="130">
          <cell r="B130" t="str">
            <v>=================================</v>
          </cell>
        </row>
        <row r="131">
          <cell r="B131" t="str">
            <v>Ceramic Metal Halide, 1-20 Watt Lamp (single end)</v>
          </cell>
          <cell r="C131">
            <v>28</v>
          </cell>
          <cell r="D131">
            <v>1100</v>
          </cell>
          <cell r="E131" t="str">
            <v>D1</v>
          </cell>
          <cell r="F131">
            <v>80</v>
          </cell>
          <cell r="G131" t="str">
            <v>Great option for retail display lighting - ie. track or recessed can</v>
          </cell>
          <cell r="Q131">
            <v>9000</v>
          </cell>
          <cell r="R131">
            <v>43.25</v>
          </cell>
          <cell r="S131">
            <v>0.15</v>
          </cell>
        </row>
        <row r="132">
          <cell r="B132" t="str">
            <v>Ceramic Metal Halide, 1-39 Watt Lamp (single or double end)</v>
          </cell>
          <cell r="C132">
            <v>45</v>
          </cell>
          <cell r="D132">
            <v>2600</v>
          </cell>
          <cell r="E132" t="str">
            <v>D1</v>
          </cell>
          <cell r="F132">
            <v>80</v>
          </cell>
          <cell r="G132" t="str">
            <v>Great option for retail display lighting - ie. track or recessed can</v>
          </cell>
          <cell r="Q132">
            <v>9000</v>
          </cell>
          <cell r="R132">
            <v>43.25</v>
          </cell>
          <cell r="S132">
            <v>0.15</v>
          </cell>
        </row>
        <row r="133">
          <cell r="B133" t="str">
            <v>Ceramic Metal Halide, 1-70 Watt Lamp (single or double end)</v>
          </cell>
          <cell r="C133">
            <v>80</v>
          </cell>
          <cell r="D133">
            <v>5200</v>
          </cell>
          <cell r="E133" t="str">
            <v>D1</v>
          </cell>
          <cell r="F133">
            <v>80</v>
          </cell>
          <cell r="G133" t="str">
            <v>Great option for retail display lighting - ie. track or recessed can</v>
          </cell>
          <cell r="Q133">
            <v>20000</v>
          </cell>
          <cell r="R133">
            <v>43.25</v>
          </cell>
          <cell r="S133">
            <v>0.15</v>
          </cell>
        </row>
        <row r="134">
          <cell r="B134" t="str">
            <v>Ceramic Metal Halide, 1-150 Watt Lamp (single or double end)</v>
          </cell>
          <cell r="C134">
            <v>168</v>
          </cell>
          <cell r="D134">
            <v>10200</v>
          </cell>
          <cell r="E134" t="str">
            <v>D2</v>
          </cell>
          <cell r="F134">
            <v>150</v>
          </cell>
          <cell r="G134" t="str">
            <v>Great option for retail display lighting - ie. track or recessed can</v>
          </cell>
          <cell r="Q134">
            <v>20000</v>
          </cell>
          <cell r="R134">
            <v>43.25</v>
          </cell>
          <cell r="S134">
            <v>0.15</v>
          </cell>
        </row>
        <row r="135">
          <cell r="B135" t="str">
            <v>Ceramic Metal Halide, 1-50 Watt Bulb</v>
          </cell>
          <cell r="C135">
            <v>55</v>
          </cell>
          <cell r="D135">
            <v>2640</v>
          </cell>
          <cell r="E135" t="str">
            <v>D1</v>
          </cell>
          <cell r="F135">
            <v>80</v>
          </cell>
          <cell r="G135" t="str">
            <v xml:space="preserve">Great option for general retail lighting </v>
          </cell>
          <cell r="Q135">
            <v>9000</v>
          </cell>
          <cell r="R135">
            <v>43.25</v>
          </cell>
          <cell r="S135">
            <v>0.15</v>
          </cell>
        </row>
        <row r="136">
          <cell r="B136" t="str">
            <v>Ceramic Metal Halide, 1-70 Watt Bulb</v>
          </cell>
          <cell r="C136">
            <v>80</v>
          </cell>
          <cell r="D136">
            <v>4700</v>
          </cell>
          <cell r="E136" t="str">
            <v>D1</v>
          </cell>
          <cell r="F136">
            <v>80</v>
          </cell>
          <cell r="G136" t="str">
            <v xml:space="preserve">Great option for general retail lighting </v>
          </cell>
          <cell r="Q136">
            <v>20000</v>
          </cell>
          <cell r="R136">
            <v>43.25</v>
          </cell>
          <cell r="S136">
            <v>0.15</v>
          </cell>
        </row>
        <row r="137">
          <cell r="B137" t="str">
            <v>Ceramic Metal Halide, 1-100 Watt Bulb</v>
          </cell>
          <cell r="C137">
            <v>112</v>
          </cell>
          <cell r="D137">
            <v>6800</v>
          </cell>
          <cell r="E137" t="str">
            <v>D2</v>
          </cell>
          <cell r="F137">
            <v>150</v>
          </cell>
          <cell r="G137" t="str">
            <v xml:space="preserve">Great option for general retail lighting </v>
          </cell>
          <cell r="Q137">
            <v>20000</v>
          </cell>
          <cell r="R137">
            <v>43.25</v>
          </cell>
          <cell r="S137">
            <v>0.15</v>
          </cell>
        </row>
        <row r="138">
          <cell r="B138" t="str">
            <v>Ceramic Metal Halide, 1-150 Watt Bulb</v>
          </cell>
          <cell r="C138">
            <v>168</v>
          </cell>
          <cell r="D138">
            <v>9920</v>
          </cell>
          <cell r="E138" t="str">
            <v>D2</v>
          </cell>
          <cell r="F138">
            <v>150</v>
          </cell>
          <cell r="G138" t="str">
            <v xml:space="preserve">Great option for general retail lighting </v>
          </cell>
          <cell r="Q138">
            <v>20000</v>
          </cell>
          <cell r="R138">
            <v>43.25</v>
          </cell>
          <cell r="S138">
            <v>0.15</v>
          </cell>
        </row>
        <row r="139">
          <cell r="B139" t="str">
            <v>Ceramic Metal Halide, 1-39 Watt PAR Lamp</v>
          </cell>
          <cell r="C139">
            <v>45</v>
          </cell>
          <cell r="D139">
            <v>1600</v>
          </cell>
          <cell r="E139" t="str">
            <v>D1</v>
          </cell>
          <cell r="F139">
            <v>80</v>
          </cell>
          <cell r="G139" t="str">
            <v>Great option for retail display lighting - ie. track or recessed can</v>
          </cell>
          <cell r="Q139">
            <v>9000</v>
          </cell>
          <cell r="R139">
            <v>43.25</v>
          </cell>
          <cell r="S139">
            <v>0.15</v>
          </cell>
        </row>
        <row r="140">
          <cell r="B140" t="str">
            <v>Ceramic Metal Halide, 1-70 Watt PAR Lamp</v>
          </cell>
          <cell r="C140">
            <v>80</v>
          </cell>
          <cell r="D140">
            <v>3840</v>
          </cell>
          <cell r="E140" t="str">
            <v>D1</v>
          </cell>
          <cell r="F140">
            <v>80</v>
          </cell>
          <cell r="G140" t="str">
            <v>Great option for retail display lighting - ie. track or recessed can</v>
          </cell>
          <cell r="Q140">
            <v>20000</v>
          </cell>
          <cell r="R140">
            <v>43.25</v>
          </cell>
          <cell r="S140">
            <v>0.15</v>
          </cell>
        </row>
        <row r="141">
          <cell r="B141" t="str">
            <v>Ceramic Metal Halide, 1-100 Watt PAR Lamp</v>
          </cell>
          <cell r="C141">
            <v>112</v>
          </cell>
          <cell r="D141">
            <v>5440</v>
          </cell>
          <cell r="E141" t="str">
            <v>D2</v>
          </cell>
          <cell r="F141">
            <v>150</v>
          </cell>
          <cell r="G141" t="str">
            <v>Great option for retail display lighting - ie. track or recessed can</v>
          </cell>
          <cell r="Q141">
            <v>20000</v>
          </cell>
          <cell r="R141">
            <v>43.25</v>
          </cell>
          <cell r="S141">
            <v>0.15</v>
          </cell>
        </row>
        <row r="142">
          <cell r="B142" t="str">
            <v>=================================</v>
          </cell>
        </row>
        <row r="143">
          <cell r="B143" t="str">
            <v>SCREW-IN LAMPS  (Lamp Only)</v>
          </cell>
        </row>
        <row r="144">
          <cell r="B144" t="str">
            <v>=================================</v>
          </cell>
        </row>
        <row r="145">
          <cell r="B145" t="str">
            <v>Screw-In CFL, 3 Watt</v>
          </cell>
          <cell r="C145">
            <v>3</v>
          </cell>
          <cell r="D145">
            <v>128</v>
          </cell>
          <cell r="E145" t="str">
            <v>E1</v>
          </cell>
          <cell r="F145">
            <v>3</v>
          </cell>
          <cell r="G145" t="str">
            <v>None</v>
          </cell>
          <cell r="Q145">
            <v>10000</v>
          </cell>
          <cell r="R145">
            <v>2</v>
          </cell>
          <cell r="S145">
            <v>0.09</v>
          </cell>
        </row>
        <row r="146">
          <cell r="B146" t="str">
            <v>Screw-In CFL, 5 Watt</v>
          </cell>
          <cell r="C146">
            <v>5</v>
          </cell>
          <cell r="D146">
            <v>213</v>
          </cell>
          <cell r="E146" t="str">
            <v>E1</v>
          </cell>
          <cell r="F146">
            <v>3</v>
          </cell>
          <cell r="G146" t="str">
            <v>None</v>
          </cell>
          <cell r="Q146">
            <v>10000</v>
          </cell>
          <cell r="R146">
            <v>2</v>
          </cell>
          <cell r="S146">
            <v>0.09</v>
          </cell>
        </row>
        <row r="147">
          <cell r="B147" t="str">
            <v>Screw-In CFL, 7 Watt</v>
          </cell>
          <cell r="C147">
            <v>7</v>
          </cell>
          <cell r="D147">
            <v>327</v>
          </cell>
          <cell r="E147" t="str">
            <v>E1</v>
          </cell>
          <cell r="F147">
            <v>3</v>
          </cell>
          <cell r="G147" t="str">
            <v>None</v>
          </cell>
          <cell r="Q147">
            <v>10000</v>
          </cell>
          <cell r="R147">
            <v>2</v>
          </cell>
          <cell r="S147">
            <v>0.09</v>
          </cell>
        </row>
        <row r="148">
          <cell r="B148" t="str">
            <v>Screw-In CFL, 9 Watt</v>
          </cell>
          <cell r="C148">
            <v>9</v>
          </cell>
          <cell r="D148">
            <v>421</v>
          </cell>
          <cell r="E148" t="str">
            <v>E1</v>
          </cell>
          <cell r="F148">
            <v>3</v>
          </cell>
          <cell r="G148" t="str">
            <v>None</v>
          </cell>
          <cell r="Q148">
            <v>10000</v>
          </cell>
          <cell r="R148">
            <v>2</v>
          </cell>
          <cell r="S148">
            <v>0.09</v>
          </cell>
        </row>
        <row r="149">
          <cell r="B149" t="str">
            <v>Screw-In CFL, 13 Watt</v>
          </cell>
          <cell r="C149">
            <v>13</v>
          </cell>
          <cell r="D149">
            <v>680</v>
          </cell>
          <cell r="E149" t="str">
            <v>E1</v>
          </cell>
          <cell r="F149">
            <v>3</v>
          </cell>
          <cell r="G149" t="str">
            <v>None</v>
          </cell>
          <cell r="Q149">
            <v>10000</v>
          </cell>
          <cell r="R149">
            <v>2</v>
          </cell>
          <cell r="S149">
            <v>0.09</v>
          </cell>
        </row>
        <row r="150">
          <cell r="B150" t="str">
            <v>Screw-In CFL, 14 Watt</v>
          </cell>
          <cell r="C150">
            <v>14</v>
          </cell>
          <cell r="D150">
            <v>720</v>
          </cell>
          <cell r="E150" t="str">
            <v>E1</v>
          </cell>
          <cell r="F150">
            <v>3</v>
          </cell>
          <cell r="G150" t="str">
            <v>None</v>
          </cell>
          <cell r="Q150">
            <v>10000</v>
          </cell>
          <cell r="R150">
            <v>2</v>
          </cell>
          <cell r="S150">
            <v>0.09</v>
          </cell>
        </row>
        <row r="151">
          <cell r="B151" t="str">
            <v>Screw-In CFL, 15 Watt</v>
          </cell>
          <cell r="C151">
            <v>15</v>
          </cell>
          <cell r="D151">
            <v>791</v>
          </cell>
          <cell r="E151" t="str">
            <v>E1</v>
          </cell>
          <cell r="F151">
            <v>3</v>
          </cell>
          <cell r="G151" t="str">
            <v>None</v>
          </cell>
          <cell r="Q151">
            <v>10000</v>
          </cell>
          <cell r="R151">
            <v>2</v>
          </cell>
          <cell r="S151">
            <v>0.09</v>
          </cell>
        </row>
        <row r="152">
          <cell r="B152" t="str">
            <v>Screw-In CFL, 18 Watt</v>
          </cell>
          <cell r="C152">
            <v>18</v>
          </cell>
          <cell r="D152">
            <v>978</v>
          </cell>
          <cell r="E152" t="str">
            <v>E1</v>
          </cell>
          <cell r="F152">
            <v>3</v>
          </cell>
          <cell r="G152" t="str">
            <v>None</v>
          </cell>
          <cell r="Q152">
            <v>10000</v>
          </cell>
          <cell r="R152">
            <v>2</v>
          </cell>
          <cell r="S152">
            <v>0.09</v>
          </cell>
        </row>
        <row r="153">
          <cell r="B153" t="str">
            <v>Screw-In CFL, 20 Watt</v>
          </cell>
          <cell r="C153">
            <v>20</v>
          </cell>
          <cell r="D153">
            <v>1020</v>
          </cell>
          <cell r="E153" t="str">
            <v>E1</v>
          </cell>
          <cell r="F153">
            <v>3</v>
          </cell>
          <cell r="G153" t="str">
            <v>None</v>
          </cell>
          <cell r="Q153">
            <v>10000</v>
          </cell>
          <cell r="R153">
            <v>2</v>
          </cell>
          <cell r="S153">
            <v>0.09</v>
          </cell>
        </row>
        <row r="154">
          <cell r="B154" t="str">
            <v>Screw-In CFL, 22 - 24 Watt (includes circline)</v>
          </cell>
          <cell r="C154">
            <v>23</v>
          </cell>
          <cell r="D154">
            <v>1190</v>
          </cell>
          <cell r="E154" t="str">
            <v>E1</v>
          </cell>
          <cell r="F154">
            <v>3</v>
          </cell>
          <cell r="G154" t="str">
            <v>None</v>
          </cell>
          <cell r="Q154">
            <v>10000</v>
          </cell>
          <cell r="R154">
            <v>10</v>
          </cell>
          <cell r="S154">
            <v>0.09</v>
          </cell>
        </row>
        <row r="155">
          <cell r="B155" t="str">
            <v>----------------------------</v>
          </cell>
        </row>
        <row r="156">
          <cell r="B156" t="str">
            <v>Screw-In CFL, 25 - 27 Watt</v>
          </cell>
          <cell r="C156">
            <v>26</v>
          </cell>
          <cell r="D156">
            <v>1488</v>
          </cell>
          <cell r="E156" t="str">
            <v>E2</v>
          </cell>
          <cell r="F156">
            <v>6</v>
          </cell>
          <cell r="G156" t="str">
            <v>None</v>
          </cell>
          <cell r="Q156">
            <v>10000</v>
          </cell>
          <cell r="R156">
            <v>3.5</v>
          </cell>
          <cell r="S156">
            <v>0.09</v>
          </cell>
        </row>
        <row r="157">
          <cell r="B157" t="str">
            <v>Screw-In CFL, 28 - 32 Watt (includes circline)</v>
          </cell>
          <cell r="C157">
            <v>30</v>
          </cell>
          <cell r="D157">
            <v>1530</v>
          </cell>
          <cell r="E157" t="str">
            <v>E2</v>
          </cell>
          <cell r="F157">
            <v>6</v>
          </cell>
          <cell r="G157" t="str">
            <v>None</v>
          </cell>
          <cell r="Q157">
            <v>10000</v>
          </cell>
          <cell r="R157">
            <v>3.5</v>
          </cell>
          <cell r="S157">
            <v>0.09</v>
          </cell>
        </row>
        <row r="158">
          <cell r="B158" t="str">
            <v>Screw-In CFL, 35 - 36 Watt (includes circline)</v>
          </cell>
          <cell r="C158">
            <v>36</v>
          </cell>
          <cell r="D158">
            <v>1785</v>
          </cell>
          <cell r="E158" t="str">
            <v>E2</v>
          </cell>
          <cell r="F158">
            <v>6</v>
          </cell>
          <cell r="G158" t="str">
            <v>None</v>
          </cell>
          <cell r="Q158">
            <v>10000</v>
          </cell>
          <cell r="R158">
            <v>6</v>
          </cell>
          <cell r="S158">
            <v>0.09</v>
          </cell>
        </row>
        <row r="159">
          <cell r="B159" t="str">
            <v>Screw-In CFL, 40 - 42 Watt (includes circline)</v>
          </cell>
          <cell r="C159">
            <v>41</v>
          </cell>
          <cell r="D159">
            <v>2380</v>
          </cell>
          <cell r="E159" t="str">
            <v>E2</v>
          </cell>
          <cell r="F159">
            <v>6</v>
          </cell>
          <cell r="G159" t="str">
            <v>None</v>
          </cell>
          <cell r="Q159">
            <v>10000</v>
          </cell>
          <cell r="R159">
            <v>10</v>
          </cell>
          <cell r="S159">
            <v>0.09</v>
          </cell>
        </row>
        <row r="160">
          <cell r="B160" t="str">
            <v>----------------------------</v>
          </cell>
        </row>
        <row r="161">
          <cell r="B161" t="str">
            <v>Screw-In CFL, 55 Watt</v>
          </cell>
          <cell r="C161">
            <v>55</v>
          </cell>
          <cell r="D161">
            <v>2975</v>
          </cell>
          <cell r="E161" t="str">
            <v>E3</v>
          </cell>
          <cell r="F161">
            <v>12</v>
          </cell>
          <cell r="G161" t="str">
            <v>None</v>
          </cell>
          <cell r="Q161">
            <v>10000</v>
          </cell>
          <cell r="R161">
            <v>18</v>
          </cell>
          <cell r="S161">
            <v>0.09</v>
          </cell>
        </row>
        <row r="162">
          <cell r="B162" t="str">
            <v>Screw-In CFL, 65 Watt</v>
          </cell>
          <cell r="C162">
            <v>65</v>
          </cell>
          <cell r="D162">
            <v>3570</v>
          </cell>
          <cell r="E162" t="str">
            <v>E3</v>
          </cell>
          <cell r="F162">
            <v>12</v>
          </cell>
          <cell r="G162" t="str">
            <v>None</v>
          </cell>
          <cell r="Q162">
            <v>10000</v>
          </cell>
          <cell r="R162">
            <v>18</v>
          </cell>
          <cell r="S162">
            <v>0.09</v>
          </cell>
        </row>
        <row r="163">
          <cell r="B163" t="str">
            <v>Screw-In CFL, 75 Watt LuxMagic</v>
          </cell>
          <cell r="C163">
            <v>75</v>
          </cell>
          <cell r="D163">
            <v>5250</v>
          </cell>
          <cell r="E163" t="str">
            <v>E3</v>
          </cell>
          <cell r="F163">
            <v>12</v>
          </cell>
          <cell r="G163" t="str">
            <v>None</v>
          </cell>
          <cell r="Q163">
            <v>10000</v>
          </cell>
          <cell r="R163">
            <v>18</v>
          </cell>
          <cell r="S163">
            <v>0.09</v>
          </cell>
        </row>
        <row r="164">
          <cell r="B164" t="str">
            <v>Screw-In CFL, 85 Watt</v>
          </cell>
          <cell r="C164">
            <v>85</v>
          </cell>
          <cell r="D164">
            <v>4675</v>
          </cell>
          <cell r="E164" t="str">
            <v>E3</v>
          </cell>
          <cell r="F164">
            <v>12</v>
          </cell>
          <cell r="G164" t="str">
            <v>None</v>
          </cell>
          <cell r="Q164">
            <v>10000</v>
          </cell>
          <cell r="R164">
            <v>22</v>
          </cell>
          <cell r="S164">
            <v>0.09</v>
          </cell>
        </row>
        <row r="165">
          <cell r="B165" t="str">
            <v>Screw-In CFL, 100 Watt</v>
          </cell>
          <cell r="C165">
            <v>100</v>
          </cell>
          <cell r="D165">
            <v>5100</v>
          </cell>
          <cell r="E165" t="str">
            <v>E3</v>
          </cell>
          <cell r="F165">
            <v>12</v>
          </cell>
          <cell r="G165" t="str">
            <v>None</v>
          </cell>
          <cell r="Q165">
            <v>10000</v>
          </cell>
          <cell r="R165">
            <v>22</v>
          </cell>
          <cell r="S165">
            <v>0.09</v>
          </cell>
        </row>
        <row r="166">
          <cell r="B166" t="str">
            <v xml:space="preserve">Screw-In CFL, 105 Watt, </v>
          </cell>
          <cell r="C166">
            <v>105</v>
          </cell>
          <cell r="D166">
            <v>5865</v>
          </cell>
          <cell r="E166" t="str">
            <v>E3</v>
          </cell>
          <cell r="F166">
            <v>12</v>
          </cell>
          <cell r="G166" t="str">
            <v>None</v>
          </cell>
          <cell r="Q166">
            <v>10000</v>
          </cell>
          <cell r="R166">
            <v>22</v>
          </cell>
          <cell r="S166">
            <v>0.09</v>
          </cell>
        </row>
        <row r="167">
          <cell r="B167" t="str">
            <v>Screw-In CFL, 125 Watt</v>
          </cell>
          <cell r="C167">
            <v>125</v>
          </cell>
          <cell r="D167">
            <v>6375</v>
          </cell>
          <cell r="E167" t="str">
            <v>E3</v>
          </cell>
          <cell r="F167">
            <v>12</v>
          </cell>
          <cell r="G167" t="str">
            <v>None</v>
          </cell>
          <cell r="Q167">
            <v>10000</v>
          </cell>
          <cell r="R167">
            <v>22</v>
          </cell>
          <cell r="S167">
            <v>0.09</v>
          </cell>
        </row>
        <row r="168">
          <cell r="B168" t="str">
            <v>Screw-In CFL, 150 Watt</v>
          </cell>
          <cell r="C168">
            <v>150</v>
          </cell>
          <cell r="D168">
            <v>7650</v>
          </cell>
          <cell r="E168" t="str">
            <v>E3</v>
          </cell>
          <cell r="F168">
            <v>12</v>
          </cell>
          <cell r="G168" t="str">
            <v>None</v>
          </cell>
          <cell r="Q168">
            <v>10000</v>
          </cell>
          <cell r="R168">
            <v>22</v>
          </cell>
          <cell r="S168">
            <v>0.09</v>
          </cell>
        </row>
        <row r="169">
          <cell r="B169" t="str">
            <v>=================================</v>
          </cell>
        </row>
        <row r="170">
          <cell r="B170" t="str">
            <v>SIGNS and DOWNLIGHTS</v>
          </cell>
        </row>
        <row r="171">
          <cell r="B171" t="str">
            <v>=================================</v>
          </cell>
        </row>
        <row r="172">
          <cell r="B172" t="str">
            <v xml:space="preserve">New LED Exit Sign </v>
          </cell>
          <cell r="C172">
            <v>3</v>
          </cell>
          <cell r="D172">
            <v>2</v>
          </cell>
          <cell r="E172" t="str">
            <v>F1</v>
          </cell>
          <cell r="F172">
            <v>50</v>
          </cell>
          <cell r="G172" t="str">
            <v>includes cold cathode (input appropriate wattage)</v>
          </cell>
          <cell r="Q172">
            <v>100000</v>
          </cell>
          <cell r="R172">
            <v>50</v>
          </cell>
          <cell r="S172">
            <v>0.2</v>
          </cell>
        </row>
        <row r="173">
          <cell r="B173" t="str">
            <v>New LED Exit Sign with battery back-up</v>
          </cell>
          <cell r="C173">
            <v>9</v>
          </cell>
          <cell r="D173">
            <v>2</v>
          </cell>
          <cell r="E173" t="str">
            <v>F1</v>
          </cell>
          <cell r="F173">
            <v>50</v>
          </cell>
          <cell r="G173" t="str">
            <v>None</v>
          </cell>
          <cell r="Q173">
            <v>100000</v>
          </cell>
          <cell r="R173">
            <v>50</v>
          </cell>
          <cell r="S173">
            <v>0.2</v>
          </cell>
        </row>
        <row r="174">
          <cell r="B174" t="str">
            <v>New LED Recessed Downlight or tracklight  (LR6 or equivalent)</v>
          </cell>
          <cell r="C174">
            <v>12</v>
          </cell>
          <cell r="D174">
            <v>650</v>
          </cell>
          <cell r="E174" t="str">
            <v>F2</v>
          </cell>
          <cell r="F174">
            <v>30</v>
          </cell>
          <cell r="G174" t="str">
            <v>CREE LR6 or equivalent</v>
          </cell>
          <cell r="Q174">
            <v>60000</v>
          </cell>
          <cell r="R174">
            <v>95</v>
          </cell>
          <cell r="S174">
            <v>0.2</v>
          </cell>
        </row>
        <row r="175">
          <cell r="B175" t="str">
            <v>New LED 16 Watt "DockLight"</v>
          </cell>
          <cell r="C175">
            <v>16</v>
          </cell>
          <cell r="D175">
            <v>660</v>
          </cell>
          <cell r="E175" t="str">
            <v>F2</v>
          </cell>
          <cell r="F175">
            <v>30</v>
          </cell>
          <cell r="G175" t="str">
            <v>EcoVations or equivalent</v>
          </cell>
          <cell r="Q175">
            <v>60000</v>
          </cell>
          <cell r="R175">
            <v>95</v>
          </cell>
          <cell r="S175">
            <v>0.2</v>
          </cell>
        </row>
        <row r="176">
          <cell r="B176" t="str">
            <v>=================================</v>
          </cell>
        </row>
        <row r="177">
          <cell r="B177" t="str">
            <v>INDUCTION (New Fixture or Retrofit kit)</v>
          </cell>
        </row>
        <row r="178">
          <cell r="B178" t="str">
            <v>=================================</v>
          </cell>
        </row>
        <row r="179">
          <cell r="B179" t="str">
            <v>Induction, 40 Watt lamp</v>
          </cell>
          <cell r="C179">
            <v>41</v>
          </cell>
          <cell r="D179">
            <v>3400</v>
          </cell>
          <cell r="E179" t="str">
            <v>G1</v>
          </cell>
          <cell r="F179">
            <v>80</v>
          </cell>
          <cell r="G179" t="str">
            <v>Great Street &amp; Area lighting option - 100,000 hr life, 5,508 pupil lumens</v>
          </cell>
          <cell r="Q179">
            <v>100000</v>
          </cell>
          <cell r="R179">
            <v>400</v>
          </cell>
          <cell r="S179">
            <v>0.3</v>
          </cell>
        </row>
        <row r="180">
          <cell r="B180" t="str">
            <v>Induction, 55 Watt globe-shaped lamp</v>
          </cell>
          <cell r="C180">
            <v>55</v>
          </cell>
          <cell r="D180">
            <v>2800</v>
          </cell>
          <cell r="E180" t="str">
            <v>G1</v>
          </cell>
          <cell r="F180">
            <v>80</v>
          </cell>
          <cell r="G180" t="str">
            <v>Great Street &amp; Area lighting option - 100,000 hr life</v>
          </cell>
          <cell r="Q180">
            <v>100000</v>
          </cell>
          <cell r="R180">
            <v>400</v>
          </cell>
          <cell r="S180">
            <v>0.3</v>
          </cell>
        </row>
        <row r="181">
          <cell r="B181" t="str">
            <v>Induction, 80 Watt lamp</v>
          </cell>
          <cell r="C181">
            <v>82</v>
          </cell>
          <cell r="D181">
            <v>6800</v>
          </cell>
          <cell r="E181" t="str">
            <v>G1</v>
          </cell>
          <cell r="F181">
            <v>80</v>
          </cell>
          <cell r="G181" t="str">
            <v>Great Street &amp; Area lighting option - 100,000 hr life, 11,016 pupil lumens</v>
          </cell>
          <cell r="Q181">
            <v>100000</v>
          </cell>
          <cell r="R181">
            <v>400</v>
          </cell>
          <cell r="S181">
            <v>0.3</v>
          </cell>
        </row>
        <row r="182">
          <cell r="B182" t="str">
            <v>Induction, 85 Watt globe-shaped lamp</v>
          </cell>
          <cell r="C182">
            <v>85</v>
          </cell>
          <cell r="D182">
            <v>4800</v>
          </cell>
          <cell r="E182" t="str">
            <v>G1</v>
          </cell>
          <cell r="F182">
            <v>80</v>
          </cell>
          <cell r="G182" t="str">
            <v>Great Street &amp; Area lighting option - 100,000 hr life</v>
          </cell>
          <cell r="Q182">
            <v>100000</v>
          </cell>
          <cell r="R182">
            <v>400</v>
          </cell>
          <cell r="S182">
            <v>0.3</v>
          </cell>
        </row>
        <row r="183">
          <cell r="B183" t="str">
            <v xml:space="preserve">Induction, 100 Watt lamp </v>
          </cell>
          <cell r="C183">
            <v>102</v>
          </cell>
          <cell r="D183">
            <v>8500</v>
          </cell>
          <cell r="E183" t="str">
            <v>G2</v>
          </cell>
          <cell r="F183">
            <v>150</v>
          </cell>
          <cell r="G183" t="str">
            <v>Great Street &amp; Area lighting option - 100,000 hr life, 13,770 pupil lumens</v>
          </cell>
          <cell r="Q183">
            <v>100000</v>
          </cell>
          <cell r="R183">
            <v>400</v>
          </cell>
          <cell r="S183">
            <v>0.3</v>
          </cell>
        </row>
        <row r="184">
          <cell r="B184" t="str">
            <v>Induction, Icetron 100 Watt donut-shaped lamp</v>
          </cell>
          <cell r="C184">
            <v>157</v>
          </cell>
          <cell r="D184">
            <v>5920</v>
          </cell>
          <cell r="E184" t="str">
            <v>G2</v>
          </cell>
          <cell r="F184">
            <v>150</v>
          </cell>
          <cell r="G184" t="str">
            <v>Great Street &amp; Area lighting option - 100,000 hr life</v>
          </cell>
          <cell r="Q184">
            <v>100000</v>
          </cell>
          <cell r="R184">
            <v>400</v>
          </cell>
          <cell r="S184">
            <v>0.3</v>
          </cell>
        </row>
        <row r="185">
          <cell r="B185" t="str">
            <v>Induction, 120 Watt Lamp</v>
          </cell>
          <cell r="C185">
            <v>122</v>
          </cell>
          <cell r="D185">
            <v>10200</v>
          </cell>
          <cell r="E185" t="str">
            <v>G2</v>
          </cell>
          <cell r="F185">
            <v>150</v>
          </cell>
          <cell r="G185" t="str">
            <v>Great Street &amp; Area lighting option - 100,000 hr life, 16,524 pupil lumens</v>
          </cell>
          <cell r="Q185">
            <v>60000</v>
          </cell>
          <cell r="R185">
            <v>400</v>
          </cell>
          <cell r="S185">
            <v>0.3</v>
          </cell>
        </row>
        <row r="186">
          <cell r="B186" t="str">
            <v>Induction, 165 Watt globe-shaped lamp</v>
          </cell>
          <cell r="C186">
            <v>165</v>
          </cell>
          <cell r="D186">
            <v>9600</v>
          </cell>
          <cell r="E186" t="str">
            <v>G2</v>
          </cell>
          <cell r="F186">
            <v>150</v>
          </cell>
          <cell r="G186" t="str">
            <v xml:space="preserve">Great Street &amp; Area lighting option - 100,000 hr life </v>
          </cell>
          <cell r="Q186">
            <v>100000</v>
          </cell>
          <cell r="R186">
            <v>400</v>
          </cell>
          <cell r="S186">
            <v>0.3</v>
          </cell>
        </row>
        <row r="187">
          <cell r="B187" t="str">
            <v>Induction, 200 Watt Lamp</v>
          </cell>
          <cell r="C187">
            <v>204</v>
          </cell>
          <cell r="D187">
            <v>17000</v>
          </cell>
          <cell r="E187" t="str">
            <v>G2</v>
          </cell>
          <cell r="F187">
            <v>150</v>
          </cell>
          <cell r="G187" t="str">
            <v>Great Street &amp; Area lighting option - 100,000 hr life, 27,540 pupil lumens</v>
          </cell>
          <cell r="Q187">
            <v>60000</v>
          </cell>
          <cell r="R187">
            <v>400</v>
          </cell>
          <cell r="S187">
            <v>0.3</v>
          </cell>
        </row>
        <row r="188">
          <cell r="B188" t="str">
            <v>Induction, 300 Watt Lamp</v>
          </cell>
          <cell r="C188">
            <v>306</v>
          </cell>
          <cell r="D188">
            <v>26010</v>
          </cell>
          <cell r="E188" t="str">
            <v>G2</v>
          </cell>
          <cell r="F188">
            <v>150</v>
          </cell>
          <cell r="G188" t="str">
            <v>Great Street &amp; Area lighting option - 100,000 hr life, 41,310 pupil lumens</v>
          </cell>
          <cell r="Q188">
            <v>60000</v>
          </cell>
          <cell r="R188">
            <v>400</v>
          </cell>
          <cell r="S188">
            <v>0.3</v>
          </cell>
        </row>
        <row r="189">
          <cell r="B189" t="str">
            <v>Induction, 400 Watt Lamp</v>
          </cell>
          <cell r="C189">
            <v>408</v>
          </cell>
          <cell r="D189">
            <v>34680</v>
          </cell>
          <cell r="E189" t="str">
            <v>G2</v>
          </cell>
          <cell r="F189">
            <v>150</v>
          </cell>
          <cell r="G189" t="str">
            <v>Great Street &amp; Area lighting option - 100,000 hr life, 55,080 pupil lumens</v>
          </cell>
          <cell r="Q189">
            <v>60000</v>
          </cell>
          <cell r="R189">
            <v>400</v>
          </cell>
          <cell r="S189">
            <v>0.3</v>
          </cell>
        </row>
        <row r="190">
          <cell r="B190" t="str">
            <v>=================================</v>
          </cell>
        </row>
        <row r="191">
          <cell r="B191" t="str">
            <v>METAL HALIDE (PULSE-START or ELECTRONIC)  (New Fixture)</v>
          </cell>
        </row>
        <row r="192">
          <cell r="B192" t="str">
            <v>=================================</v>
          </cell>
        </row>
        <row r="193">
          <cell r="B193" t="str">
            <v>Pulse-Start Metal Halide</v>
          </cell>
        </row>
        <row r="194">
          <cell r="B194" t="str">
            <v>----------------------------</v>
          </cell>
        </row>
        <row r="195">
          <cell r="B195" t="str">
            <v>Metal Halide Pulse Start, 200 Watt Lamp</v>
          </cell>
          <cell r="C195">
            <v>232</v>
          </cell>
          <cell r="D195">
            <v>16000</v>
          </cell>
          <cell r="E195" t="str">
            <v>I1</v>
          </cell>
          <cell r="F195">
            <v>150</v>
          </cell>
          <cell r="G195" t="str">
            <v>Consider T5 or T8 technology before recommending this technology, add 50% for pupil lumens</v>
          </cell>
          <cell r="Q195">
            <v>12000</v>
          </cell>
          <cell r="R195">
            <v>31.04</v>
          </cell>
          <cell r="S195">
            <v>0.4</v>
          </cell>
        </row>
        <row r="196">
          <cell r="B196" t="str">
            <v>Metal Halide Pulse Start, 250 Watt Lamp</v>
          </cell>
          <cell r="C196">
            <v>291</v>
          </cell>
          <cell r="D196">
            <v>19000</v>
          </cell>
          <cell r="E196" t="str">
            <v>I1</v>
          </cell>
          <cell r="F196">
            <v>150</v>
          </cell>
          <cell r="G196" t="str">
            <v>Consider T5 or T8 technology before recommending this technology, add 50% for pupil lumens</v>
          </cell>
          <cell r="Q196">
            <v>12000</v>
          </cell>
          <cell r="R196">
            <v>31.04</v>
          </cell>
          <cell r="S196">
            <v>0.4</v>
          </cell>
        </row>
        <row r="197">
          <cell r="B197" t="str">
            <v>Metal Halide Pulse Start, 300 Watt Lamp</v>
          </cell>
          <cell r="C197">
            <v>342</v>
          </cell>
          <cell r="D197">
            <v>24400</v>
          </cell>
          <cell r="E197" t="str">
            <v>I1</v>
          </cell>
          <cell r="F197">
            <v>150</v>
          </cell>
          <cell r="G197" t="str">
            <v>Consider T5 or T8 technology before recommending this technology, add 50% for pupil lumens</v>
          </cell>
          <cell r="Q197">
            <v>20000</v>
          </cell>
          <cell r="R197">
            <v>27.606382978723406</v>
          </cell>
          <cell r="S197">
            <v>0.4</v>
          </cell>
        </row>
        <row r="198">
          <cell r="B198" t="str">
            <v>Metal Halide Pulse Start, 320 Watt Lamp</v>
          </cell>
          <cell r="C198">
            <v>370</v>
          </cell>
          <cell r="D198">
            <v>26400</v>
          </cell>
          <cell r="E198" t="str">
            <v>I1</v>
          </cell>
          <cell r="F198">
            <v>150</v>
          </cell>
          <cell r="G198" t="str">
            <v>Consider T5 or T8 technology before recommending this technology, add 50% for pupil lumens</v>
          </cell>
          <cell r="Q198">
            <v>20000</v>
          </cell>
          <cell r="R198">
            <v>27.606382978723406</v>
          </cell>
          <cell r="S198">
            <v>0.4</v>
          </cell>
        </row>
        <row r="199">
          <cell r="B199" t="str">
            <v>Metal Halide Pulse Start, 350 Watt Lamp</v>
          </cell>
          <cell r="C199">
            <v>400</v>
          </cell>
          <cell r="D199">
            <v>29600</v>
          </cell>
          <cell r="E199" t="str">
            <v>I1</v>
          </cell>
          <cell r="F199">
            <v>150</v>
          </cell>
          <cell r="G199" t="str">
            <v>Consider T5 or T8 technology before recommending this technology, add 50% for pupil lumens</v>
          </cell>
          <cell r="Q199">
            <v>20000</v>
          </cell>
          <cell r="R199">
            <v>27.606382978723406</v>
          </cell>
          <cell r="S199">
            <v>0.4</v>
          </cell>
        </row>
        <row r="200">
          <cell r="B200" t="str">
            <v>Metal Halide Pulse Start, 400 Watt Lamp</v>
          </cell>
          <cell r="C200">
            <v>455</v>
          </cell>
          <cell r="D200">
            <v>31500</v>
          </cell>
          <cell r="E200" t="str">
            <v>I2</v>
          </cell>
          <cell r="F200">
            <v>200</v>
          </cell>
          <cell r="G200" t="str">
            <v>Consider T5 or T8 technology before recommending this technology, add 50% for pupil lumens</v>
          </cell>
          <cell r="Q200">
            <v>20000</v>
          </cell>
          <cell r="R200">
            <v>34.549999999999997</v>
          </cell>
          <cell r="S200">
            <v>0.4</v>
          </cell>
        </row>
        <row r="201">
          <cell r="B201" t="str">
            <v>Metal Halide Pulse Start, 450 Watt Lamp</v>
          </cell>
          <cell r="C201">
            <v>514</v>
          </cell>
          <cell r="D201">
            <v>40000</v>
          </cell>
          <cell r="E201" t="str">
            <v>I2</v>
          </cell>
          <cell r="F201">
            <v>200</v>
          </cell>
          <cell r="G201" t="str">
            <v>Consider T5 or T8 technology before recommending this technology, add 50% for pupil lumens</v>
          </cell>
          <cell r="Q201">
            <v>20000</v>
          </cell>
          <cell r="R201">
            <v>34.549999999999997</v>
          </cell>
          <cell r="S201">
            <v>0.4</v>
          </cell>
        </row>
        <row r="202">
          <cell r="B202" t="str">
            <v>Metal Halide Pulse Start, 750 Watt Lamp</v>
          </cell>
          <cell r="C202">
            <v>818</v>
          </cell>
          <cell r="D202">
            <v>60000</v>
          </cell>
          <cell r="E202" t="str">
            <v>I2</v>
          </cell>
          <cell r="F202">
            <v>200</v>
          </cell>
          <cell r="G202" t="str">
            <v>Consider T5 or T8 technology before recommending this technology, add 50% for pupil lumens</v>
          </cell>
          <cell r="Q202">
            <v>20000</v>
          </cell>
          <cell r="R202">
            <v>62.574468085106382</v>
          </cell>
          <cell r="S202">
            <v>0.4</v>
          </cell>
        </row>
        <row r="203">
          <cell r="B203" t="str">
            <v>Metal Halide Pulse Start, 875 Watt Lamp</v>
          </cell>
          <cell r="C203">
            <v>940</v>
          </cell>
          <cell r="D203">
            <v>80500</v>
          </cell>
          <cell r="E203" t="str">
            <v>I2</v>
          </cell>
          <cell r="F203">
            <v>200</v>
          </cell>
          <cell r="G203" t="str">
            <v>Consider T5 or T8 technology before recommending this technology, add 50% for pupil lumens</v>
          </cell>
          <cell r="Q203">
            <v>20000</v>
          </cell>
          <cell r="R203">
            <v>62.574468085106382</v>
          </cell>
          <cell r="S203">
            <v>0.4</v>
          </cell>
        </row>
        <row r="204">
          <cell r="B204" t="str">
            <v>Metal Halide Pulse Start, 1000 Watt Lamp</v>
          </cell>
          <cell r="C204">
            <v>1080</v>
          </cell>
          <cell r="D204">
            <v>96000</v>
          </cell>
          <cell r="E204" t="str">
            <v>I2</v>
          </cell>
          <cell r="F204">
            <v>200</v>
          </cell>
          <cell r="G204" t="str">
            <v>Consider T5 or T8 technology before recommending this technology, add 50% for pupil lumens</v>
          </cell>
          <cell r="Q204">
            <v>20000</v>
          </cell>
          <cell r="R204">
            <v>62.574468085106382</v>
          </cell>
          <cell r="S204">
            <v>0.4</v>
          </cell>
        </row>
        <row r="205">
          <cell r="B205" t="str">
            <v>----------------------------</v>
          </cell>
        </row>
        <row r="206">
          <cell r="B206" t="str">
            <v>Electronic Metal Halide</v>
          </cell>
        </row>
        <row r="207">
          <cell r="B207" t="str">
            <v>----------------------------</v>
          </cell>
        </row>
        <row r="208">
          <cell r="B208" t="str">
            <v>Metal Halide, 250 Watt Lamp, Electronic Ballast</v>
          </cell>
          <cell r="C208">
            <v>269</v>
          </cell>
          <cell r="D208">
            <v>22865</v>
          </cell>
          <cell r="E208" t="str">
            <v>I1</v>
          </cell>
          <cell r="F208">
            <v>150</v>
          </cell>
          <cell r="G208" t="str">
            <v>Metrolight  Electronic Ballast or equivalent, add 50% for pupil lumens</v>
          </cell>
          <cell r="Q208">
            <v>20000</v>
          </cell>
          <cell r="R208">
            <v>34.549999999999997</v>
          </cell>
          <cell r="S208">
            <v>0.4</v>
          </cell>
        </row>
        <row r="209">
          <cell r="B209" t="str">
            <v>Metal Halide, 320 Watt Lamp, Electronic Ballast</v>
          </cell>
          <cell r="C209">
            <v>344</v>
          </cell>
          <cell r="D209">
            <v>29240</v>
          </cell>
          <cell r="E209" t="str">
            <v>I1</v>
          </cell>
          <cell r="F209">
            <v>150</v>
          </cell>
          <cell r="G209" t="str">
            <v>Metrolight  Electronic Ballast or equivalent, add 50% for pupil lumens</v>
          </cell>
          <cell r="Q209">
            <v>20000</v>
          </cell>
          <cell r="R209">
            <v>34.549999999999997</v>
          </cell>
          <cell r="S209">
            <v>0.4</v>
          </cell>
        </row>
        <row r="210">
          <cell r="B210" t="str">
            <v>Metal Halide, 350 Watt Lamp, Electronic Ballast</v>
          </cell>
          <cell r="C210">
            <v>375</v>
          </cell>
          <cell r="D210">
            <v>31875</v>
          </cell>
          <cell r="E210" t="str">
            <v>I1</v>
          </cell>
          <cell r="F210">
            <v>150</v>
          </cell>
          <cell r="G210" t="str">
            <v>Metrolight  Electronic Ballast or equivalent, add 50% for pupil lumens</v>
          </cell>
          <cell r="Q210">
            <v>20000</v>
          </cell>
          <cell r="R210">
            <v>34.549999999999997</v>
          </cell>
          <cell r="S210">
            <v>0.4</v>
          </cell>
        </row>
        <row r="211">
          <cell r="B211" t="str">
            <v>Metal Halide, 400 Watt Lamp, Electronic Ballast</v>
          </cell>
          <cell r="C211">
            <v>425</v>
          </cell>
          <cell r="D211">
            <v>36120</v>
          </cell>
          <cell r="E211" t="str">
            <v>I2</v>
          </cell>
          <cell r="F211">
            <v>200</v>
          </cell>
          <cell r="G211" t="str">
            <v>Metrolight  Electronic Ballast or equivalent, add 50% for pupil lumens</v>
          </cell>
          <cell r="Q211">
            <v>20000</v>
          </cell>
          <cell r="R211">
            <v>34.549999999999997</v>
          </cell>
          <cell r="S211">
            <v>0.4</v>
          </cell>
        </row>
        <row r="212">
          <cell r="B212" t="str">
            <v>Metal Halide, 450 Watt Lamp, Electronic Ballast</v>
          </cell>
          <cell r="C212">
            <v>478</v>
          </cell>
          <cell r="D212">
            <v>40630</v>
          </cell>
          <cell r="E212" t="str">
            <v>I2</v>
          </cell>
          <cell r="F212">
            <v>200</v>
          </cell>
          <cell r="G212" t="str">
            <v>Metrolight  Electronic Ballast or equivalent, add 50% for pupil lumens</v>
          </cell>
          <cell r="Q212">
            <v>20000</v>
          </cell>
          <cell r="R212">
            <v>34.549999999999997</v>
          </cell>
          <cell r="S212">
            <v>0.4</v>
          </cell>
        </row>
        <row r="213">
          <cell r="B213" t="str">
            <v>=================================</v>
          </cell>
        </row>
        <row r="214">
          <cell r="B214" t="str">
            <v>OCCUPANCY SENSORS, TIMERS, PHOTOCELLS, and CONTROL PANELS</v>
          </cell>
        </row>
        <row r="215">
          <cell r="B215" t="str">
            <v>=================================</v>
          </cell>
        </row>
        <row r="216">
          <cell r="B216" t="str">
            <v>Occupancy Sensor, Timer, Photocell, or Control Panel controlling the above fixtures (50 to 200 watts) (Document by reducing proposed operating hours accordingly)</v>
          </cell>
          <cell r="E216" t="str">
            <v>J1</v>
          </cell>
          <cell r="F216">
            <v>35</v>
          </cell>
          <cell r="Q216" t="str">
            <v>No Default</v>
          </cell>
          <cell r="R216" t="str">
            <v>No Default</v>
          </cell>
          <cell r="S216" t="str">
            <v>No Default</v>
          </cell>
        </row>
        <row r="217">
          <cell r="B217" t="str">
            <v>Occupancy Sensor, Timer, Photocell, or Control Panel controlling the above fixtures (over 200 watts) (Document by reducing proposed operating hours accordingly)</v>
          </cell>
          <cell r="E217" t="str">
            <v>J2</v>
          </cell>
          <cell r="F217">
            <v>60</v>
          </cell>
          <cell r="Q217" t="str">
            <v>No Default</v>
          </cell>
          <cell r="R217" t="str">
            <v>No Default</v>
          </cell>
          <cell r="S217" t="str">
            <v>No Default</v>
          </cell>
        </row>
        <row r="218">
          <cell r="B218" t="str">
            <v>=================================</v>
          </cell>
        </row>
        <row r="219">
          <cell r="B219" t="str">
            <v>Non-Standard Measures</v>
          </cell>
        </row>
        <row r="220">
          <cell r="B220" t="str">
            <v>=================================</v>
          </cell>
        </row>
        <row r="221">
          <cell r="B221" t="str">
            <v>Screw-in LED (1 Watt)</v>
          </cell>
          <cell r="C221">
            <v>1</v>
          </cell>
          <cell r="D221">
            <v>60</v>
          </cell>
          <cell r="E221" t="str">
            <v>M1</v>
          </cell>
          <cell r="F221" t="str">
            <v>call BPA</v>
          </cell>
          <cell r="Q221">
            <v>50000</v>
          </cell>
          <cell r="R221">
            <v>40</v>
          </cell>
          <cell r="S221">
            <v>0.09</v>
          </cell>
        </row>
        <row r="222">
          <cell r="B222" t="str">
            <v>Screw-in LED or cold cathode (3 Watt)</v>
          </cell>
          <cell r="C222">
            <v>3</v>
          </cell>
          <cell r="D222">
            <v>120</v>
          </cell>
          <cell r="E222" t="str">
            <v>M1</v>
          </cell>
          <cell r="F222" t="str">
            <v>call BPA</v>
          </cell>
          <cell r="Q222">
            <v>25000</v>
          </cell>
          <cell r="R222">
            <v>15</v>
          </cell>
          <cell r="S222">
            <v>0.09</v>
          </cell>
        </row>
        <row r="223">
          <cell r="B223" t="str">
            <v>Screw-in LED (4 Watt)</v>
          </cell>
          <cell r="C223">
            <v>4</v>
          </cell>
          <cell r="D223">
            <v>240</v>
          </cell>
          <cell r="E223" t="str">
            <v>M1</v>
          </cell>
          <cell r="F223" t="str">
            <v>call BPA</v>
          </cell>
          <cell r="Q223">
            <v>50000</v>
          </cell>
          <cell r="R223">
            <v>40</v>
          </cell>
          <cell r="S223">
            <v>0.09</v>
          </cell>
        </row>
        <row r="224">
          <cell r="B224" t="str">
            <v>Screw-in LED or cold cathode (5 Watt)</v>
          </cell>
          <cell r="C224">
            <v>5</v>
          </cell>
          <cell r="D224">
            <v>200</v>
          </cell>
          <cell r="E224" t="str">
            <v>M1</v>
          </cell>
          <cell r="F224" t="str">
            <v>call BPA</v>
          </cell>
          <cell r="Q224">
            <v>25000</v>
          </cell>
          <cell r="R224">
            <v>15</v>
          </cell>
          <cell r="S224">
            <v>0.09</v>
          </cell>
        </row>
        <row r="225">
          <cell r="B225" t="str">
            <v>Screw-in LED (6 Watt)</v>
          </cell>
          <cell r="C225">
            <v>6</v>
          </cell>
          <cell r="D225">
            <v>360</v>
          </cell>
          <cell r="E225" t="str">
            <v>M1</v>
          </cell>
          <cell r="F225" t="str">
            <v>call BPA</v>
          </cell>
          <cell r="Q225">
            <v>50000</v>
          </cell>
          <cell r="R225">
            <v>40</v>
          </cell>
          <cell r="S225">
            <v>0.09</v>
          </cell>
        </row>
        <row r="226">
          <cell r="B226" t="str">
            <v>Screw-in LED or cold cathode (8 Watt)</v>
          </cell>
          <cell r="C226">
            <v>8</v>
          </cell>
          <cell r="D226">
            <v>300</v>
          </cell>
          <cell r="E226" t="str">
            <v>M1</v>
          </cell>
          <cell r="F226" t="str">
            <v>call BPA</v>
          </cell>
          <cell r="Q226">
            <v>25000</v>
          </cell>
          <cell r="R226">
            <v>15</v>
          </cell>
          <cell r="S226">
            <v>0.09</v>
          </cell>
        </row>
        <row r="227">
          <cell r="B227" t="str">
            <v>----------------------------</v>
          </cell>
        </row>
        <row r="228">
          <cell r="B228" t="str">
            <v>Screw-in Ceramic Metal Halide (self-ballasted)</v>
          </cell>
          <cell r="C228">
            <v>25</v>
          </cell>
          <cell r="D228">
            <v>1220</v>
          </cell>
          <cell r="E228" t="str">
            <v>M1</v>
          </cell>
          <cell r="F228" t="str">
            <v>call BPA</v>
          </cell>
          <cell r="G228" t="str">
            <v>Great option for retail display lighting - ie. track or recessed can</v>
          </cell>
          <cell r="Q228">
            <v>10500</v>
          </cell>
          <cell r="R228">
            <v>45</v>
          </cell>
          <cell r="S228">
            <v>0.09</v>
          </cell>
        </row>
        <row r="229">
          <cell r="B229" t="str">
            <v>----------------------------</v>
          </cell>
        </row>
        <row r="230">
          <cell r="B230" t="str">
            <v>New LED refrigerator case light  (3 watts per linear foot - input linear feet as quantity)</v>
          </cell>
          <cell r="C230">
            <v>3</v>
          </cell>
          <cell r="D230">
            <v>195</v>
          </cell>
          <cell r="E230" t="str">
            <v>M1</v>
          </cell>
          <cell r="F230" t="str">
            <v>call BPA</v>
          </cell>
          <cell r="G230" t="str">
            <v>Typically replaces T12 HO  4-6'</v>
          </cell>
          <cell r="Q230">
            <v>50000</v>
          </cell>
          <cell r="R230">
            <v>800</v>
          </cell>
          <cell r="S230">
            <v>0.3</v>
          </cell>
        </row>
        <row r="231">
          <cell r="B231" t="str">
            <v>New LED refrigerator case light  (6 watts per linear foot - input linear feet as quantity)</v>
          </cell>
          <cell r="C231">
            <v>6</v>
          </cell>
          <cell r="D231">
            <v>390</v>
          </cell>
          <cell r="E231" t="str">
            <v>M1</v>
          </cell>
          <cell r="F231" t="str">
            <v>call BPA</v>
          </cell>
          <cell r="G231" t="str">
            <v>Typically replaces T12 HO  4-6'</v>
          </cell>
          <cell r="Q231">
            <v>50000</v>
          </cell>
          <cell r="R231">
            <v>800</v>
          </cell>
          <cell r="S231">
            <v>0.3</v>
          </cell>
        </row>
        <row r="232">
          <cell r="B232" t="str">
            <v>New LED channel letter lighting  (1 watts per linear foot - input linear feet as quantity)</v>
          </cell>
          <cell r="C232">
            <v>1</v>
          </cell>
          <cell r="D232">
            <v>65</v>
          </cell>
          <cell r="E232" t="str">
            <v>M1</v>
          </cell>
          <cell r="F232" t="str">
            <v>call BPA</v>
          </cell>
          <cell r="G232" t="str">
            <v>Typically replaces neon or T12 HO</v>
          </cell>
          <cell r="Q232">
            <v>50000</v>
          </cell>
          <cell r="R232">
            <v>800</v>
          </cell>
          <cell r="S232">
            <v>0.3</v>
          </cell>
        </row>
        <row r="233">
          <cell r="B233" t="str">
            <v>New LED channel letter lighting  (2 watts per linear foot - input linear feet as quantity)</v>
          </cell>
          <cell r="C233">
            <v>2</v>
          </cell>
          <cell r="D233">
            <v>130</v>
          </cell>
          <cell r="E233" t="str">
            <v>M1</v>
          </cell>
          <cell r="F233" t="str">
            <v>call BPA</v>
          </cell>
          <cell r="G233" t="str">
            <v>Typically replaces neon or T12 HO</v>
          </cell>
          <cell r="Q233">
            <v>50000</v>
          </cell>
          <cell r="R233">
            <v>800</v>
          </cell>
          <cell r="S233">
            <v>0.3</v>
          </cell>
        </row>
        <row r="234">
          <cell r="B234" t="str">
            <v>----------------------------</v>
          </cell>
        </row>
        <row r="235">
          <cell r="B235" t="str">
            <v>New LED Outdoor Street/Area Light Fixture (28 Watt)</v>
          </cell>
          <cell r="C235">
            <v>28</v>
          </cell>
          <cell r="D235">
            <v>1700</v>
          </cell>
          <cell r="E235" t="str">
            <v>M1</v>
          </cell>
          <cell r="F235" t="str">
            <v>call BPA</v>
          </cell>
          <cell r="G235" t="str">
            <v>Wattage &amp; Lumen values from Beta LED spec sheet</v>
          </cell>
          <cell r="Q235">
            <v>50000</v>
          </cell>
          <cell r="R235">
            <v>800</v>
          </cell>
          <cell r="S235">
            <v>0.3</v>
          </cell>
        </row>
        <row r="236">
          <cell r="B236" t="str">
            <v>New LED Outdoor Street/Area Light Fixture (104 Watt)</v>
          </cell>
          <cell r="C236">
            <v>104</v>
          </cell>
          <cell r="D236">
            <v>6800</v>
          </cell>
          <cell r="E236" t="str">
            <v>M1</v>
          </cell>
          <cell r="F236" t="str">
            <v>call BPA</v>
          </cell>
          <cell r="G236" t="str">
            <v>Wattage &amp; Lumen values from Beta LED spec sheet</v>
          </cell>
          <cell r="Q236">
            <v>50000</v>
          </cell>
          <cell r="R236">
            <v>800</v>
          </cell>
          <cell r="S236">
            <v>0.3</v>
          </cell>
        </row>
        <row r="237">
          <cell r="B237" t="str">
            <v>New LED Outdoor Street/Area Light Fixture (207 Watt)</v>
          </cell>
          <cell r="C237">
            <v>207</v>
          </cell>
          <cell r="D237">
            <v>13600</v>
          </cell>
          <cell r="E237" t="str">
            <v>M1</v>
          </cell>
          <cell r="F237" t="str">
            <v>call BPA</v>
          </cell>
          <cell r="G237" t="str">
            <v>Wattage &amp; Lumen values from Beta LED spec sheet</v>
          </cell>
          <cell r="Q237">
            <v>50000</v>
          </cell>
          <cell r="R237">
            <v>800</v>
          </cell>
          <cell r="S237">
            <v>0.3</v>
          </cell>
        </row>
        <row r="238">
          <cell r="B238" t="str">
            <v>New LED Outdoor Street/Area Light Fixture (306 Watt)</v>
          </cell>
          <cell r="C238">
            <v>306</v>
          </cell>
          <cell r="D238">
            <v>20400</v>
          </cell>
          <cell r="E238" t="str">
            <v>M1</v>
          </cell>
          <cell r="F238" t="str">
            <v>call BPA</v>
          </cell>
          <cell r="G238" t="str">
            <v>Wattage &amp; Lumen values from Beta LED spec sheet</v>
          </cell>
          <cell r="Q238">
            <v>50000</v>
          </cell>
          <cell r="R238">
            <v>800</v>
          </cell>
          <cell r="S238">
            <v>0.3</v>
          </cell>
        </row>
        <row r="239">
          <cell r="B239" t="str">
            <v>----------------------------</v>
          </cell>
        </row>
        <row r="240">
          <cell r="B240" t="str">
            <v>Metal Halide, 50 Watt Lamp, Electronic Ballast</v>
          </cell>
          <cell r="C240">
            <v>56</v>
          </cell>
          <cell r="D240">
            <v>4760</v>
          </cell>
          <cell r="E240" t="str">
            <v>M1</v>
          </cell>
          <cell r="F240" t="str">
            <v>call BPA</v>
          </cell>
          <cell r="G240" t="str">
            <v>Metrolight  Electronic Ballast or equivalent, add 50% for pupil lumens</v>
          </cell>
          <cell r="Q240">
            <v>20000</v>
          </cell>
          <cell r="R240">
            <v>34.549999999999997</v>
          </cell>
          <cell r="S240">
            <v>0.4</v>
          </cell>
        </row>
        <row r="241">
          <cell r="B241" t="str">
            <v>MH Pulse Start, 1-PS 50 Watt Lamp</v>
          </cell>
          <cell r="C241">
            <v>68</v>
          </cell>
          <cell r="D241">
            <v>2100</v>
          </cell>
          <cell r="E241" t="str">
            <v>M1</v>
          </cell>
          <cell r="F241" t="str">
            <v>call BPA</v>
          </cell>
          <cell r="G241" t="str">
            <v>Venture Lighting Catalog, add 50% for pupil lumens</v>
          </cell>
          <cell r="Q241">
            <v>7500</v>
          </cell>
          <cell r="R241">
            <v>26.67</v>
          </cell>
          <cell r="S241">
            <v>0.4</v>
          </cell>
        </row>
        <row r="242">
          <cell r="B242" t="str">
            <v>Metal Halide, 70 Watt Lamp, Electronic Ballast</v>
          </cell>
          <cell r="C242">
            <v>76</v>
          </cell>
          <cell r="D242">
            <v>6460</v>
          </cell>
          <cell r="E242" t="str">
            <v>M1</v>
          </cell>
          <cell r="F242" t="str">
            <v>call BPA</v>
          </cell>
          <cell r="G242" t="str">
            <v>Metrolight  Electronic Ballast or equivalent, add 50% for pupil lumens</v>
          </cell>
          <cell r="Q242">
            <v>20000</v>
          </cell>
          <cell r="R242">
            <v>34.549999999999997</v>
          </cell>
          <cell r="S242">
            <v>0.4</v>
          </cell>
        </row>
        <row r="243">
          <cell r="B243" t="str">
            <v>MH Pulse Start, 1-PS 70 Watt Lamp</v>
          </cell>
          <cell r="C243">
            <v>90</v>
          </cell>
          <cell r="D243">
            <v>3400</v>
          </cell>
          <cell r="E243" t="str">
            <v>M1</v>
          </cell>
          <cell r="F243" t="str">
            <v>call BPA</v>
          </cell>
          <cell r="G243" t="str">
            <v>Venture Lighting Catalog, add 50% for pupil lumens</v>
          </cell>
          <cell r="Q243">
            <v>12000</v>
          </cell>
          <cell r="R243">
            <v>26.67</v>
          </cell>
          <cell r="S243">
            <v>0.4</v>
          </cell>
        </row>
        <row r="244">
          <cell r="B244" t="str">
            <v>Metal Halide, 100 Watt Lamp, Electronic Ballast</v>
          </cell>
          <cell r="C244">
            <v>108</v>
          </cell>
          <cell r="D244">
            <v>9180</v>
          </cell>
          <cell r="E244" t="str">
            <v>M1</v>
          </cell>
          <cell r="F244" t="str">
            <v>call BPA</v>
          </cell>
          <cell r="G244" t="str">
            <v>Metrolight  Electronic Ballast or equivalent, add 50% for pupil lumens</v>
          </cell>
          <cell r="Q244">
            <v>20000</v>
          </cell>
          <cell r="R244">
            <v>34.549999999999997</v>
          </cell>
          <cell r="S244">
            <v>0.4</v>
          </cell>
        </row>
        <row r="245">
          <cell r="B245" t="str">
            <v>MH Pulse Start, 1-PS 100 Watt Lamp</v>
          </cell>
          <cell r="C245">
            <v>125</v>
          </cell>
          <cell r="D245">
            <v>5500</v>
          </cell>
          <cell r="E245" t="str">
            <v>M1</v>
          </cell>
          <cell r="F245" t="str">
            <v>call BPA</v>
          </cell>
          <cell r="G245" t="str">
            <v>Venture Lighting Catalog, add 50% for pupil lumens</v>
          </cell>
          <cell r="Q245">
            <v>12000</v>
          </cell>
          <cell r="R245">
            <v>26.67</v>
          </cell>
          <cell r="S245">
            <v>0.4</v>
          </cell>
        </row>
        <row r="246">
          <cell r="B246" t="str">
            <v>Metal Halide, 150 Watt Lamp, Electronic Ballast</v>
          </cell>
          <cell r="C246">
            <v>158</v>
          </cell>
          <cell r="D246">
            <v>13430</v>
          </cell>
          <cell r="E246" t="str">
            <v>M1</v>
          </cell>
          <cell r="F246" t="str">
            <v>call BPA</v>
          </cell>
          <cell r="G246" t="str">
            <v>Metrolight  Electronic Ballast or equivalent, add 50% for pupil lumens</v>
          </cell>
          <cell r="Q246">
            <v>20000</v>
          </cell>
          <cell r="R246">
            <v>34.549999999999997</v>
          </cell>
          <cell r="S246">
            <v>0.4</v>
          </cell>
        </row>
        <row r="247">
          <cell r="B247" t="str">
            <v>MH Pulse Start, 1-PS 150 Watt Lamp</v>
          </cell>
          <cell r="C247">
            <v>185</v>
          </cell>
          <cell r="D247">
            <v>9500</v>
          </cell>
          <cell r="E247" t="str">
            <v>M1</v>
          </cell>
          <cell r="F247" t="str">
            <v>call BPA</v>
          </cell>
          <cell r="G247" t="str">
            <v>Venture Lighting Catalog, add 50% for pupil lumens</v>
          </cell>
          <cell r="Q247">
            <v>12000</v>
          </cell>
          <cell r="R247">
            <v>28.08</v>
          </cell>
          <cell r="S247">
            <v>0.4</v>
          </cell>
        </row>
        <row r="248">
          <cell r="B248" t="str">
            <v>MH Pulse Start, 1-PS 175 Watt Lamp</v>
          </cell>
          <cell r="C248">
            <v>208</v>
          </cell>
          <cell r="D248">
            <v>14000</v>
          </cell>
          <cell r="E248" t="str">
            <v>M1</v>
          </cell>
          <cell r="F248" t="str">
            <v>call BPA</v>
          </cell>
          <cell r="G248" t="str">
            <v>Venture Lighting Catalog, add 50% for pupil lumens</v>
          </cell>
          <cell r="Q248">
            <v>12000</v>
          </cell>
          <cell r="R248">
            <v>31.04</v>
          </cell>
          <cell r="S248">
            <v>0.4</v>
          </cell>
        </row>
        <row r="249">
          <cell r="B249" t="str">
            <v>----------------------------</v>
          </cell>
        </row>
        <row r="250">
          <cell r="B250" t="str">
            <v>High Pressure Sodium, 35W</v>
          </cell>
          <cell r="C250">
            <v>45</v>
          </cell>
          <cell r="D250">
            <v>1845</v>
          </cell>
          <cell r="E250" t="str">
            <v>M1</v>
          </cell>
          <cell r="F250" t="str">
            <v>call BPA</v>
          </cell>
          <cell r="G250" t="str">
            <v>Hardwired CFL</v>
          </cell>
          <cell r="Q250">
            <v>16000</v>
          </cell>
          <cell r="R250">
            <v>15.72</v>
          </cell>
          <cell r="S250">
            <v>0.4</v>
          </cell>
        </row>
        <row r="251">
          <cell r="B251" t="str">
            <v>High Pressure Sodium, 50W</v>
          </cell>
          <cell r="C251">
            <v>68</v>
          </cell>
          <cell r="D251">
            <v>3280</v>
          </cell>
          <cell r="E251" t="str">
            <v>M1</v>
          </cell>
          <cell r="F251" t="str">
            <v>call BPA</v>
          </cell>
          <cell r="G251" t="str">
            <v>Hardwired CFL</v>
          </cell>
          <cell r="Q251">
            <v>24000</v>
          </cell>
          <cell r="R251">
            <v>15.72</v>
          </cell>
          <cell r="S251">
            <v>0.4</v>
          </cell>
        </row>
        <row r="252">
          <cell r="B252" t="str">
            <v>High Pressure Sodium, 70W</v>
          </cell>
          <cell r="C252">
            <v>86</v>
          </cell>
          <cell r="D252">
            <v>5166</v>
          </cell>
          <cell r="E252" t="str">
            <v>M1</v>
          </cell>
          <cell r="F252" t="str">
            <v>call BPA</v>
          </cell>
          <cell r="G252" t="str">
            <v>Hardwired CFL</v>
          </cell>
          <cell r="Q252">
            <v>24000</v>
          </cell>
          <cell r="R252">
            <v>15.72</v>
          </cell>
          <cell r="S252">
            <v>0.4</v>
          </cell>
        </row>
        <row r="253">
          <cell r="B253" t="str">
            <v>High Pressure Sodium, 100W</v>
          </cell>
          <cell r="C253">
            <v>120</v>
          </cell>
          <cell r="D253">
            <v>7790</v>
          </cell>
          <cell r="E253" t="str">
            <v>M1</v>
          </cell>
          <cell r="F253" t="str">
            <v>call BPA</v>
          </cell>
          <cell r="G253" t="str">
            <v>Hardwired CFL</v>
          </cell>
          <cell r="Q253">
            <v>24000</v>
          </cell>
          <cell r="R253">
            <v>15.72</v>
          </cell>
          <cell r="S253">
            <v>0.4</v>
          </cell>
        </row>
        <row r="254">
          <cell r="B254" t="str">
            <v>High Pressure Sodium, 150W</v>
          </cell>
          <cell r="C254">
            <v>170</v>
          </cell>
          <cell r="D254">
            <v>13120</v>
          </cell>
          <cell r="E254" t="str">
            <v>M1</v>
          </cell>
          <cell r="F254" t="str">
            <v>call BPA</v>
          </cell>
          <cell r="G254" t="str">
            <v>Ceramic Metal Halide, 1-70W, 1-Elec</v>
          </cell>
          <cell r="Q254">
            <v>24000</v>
          </cell>
          <cell r="R254">
            <v>11.89</v>
          </cell>
          <cell r="S254">
            <v>0.4</v>
          </cell>
        </row>
        <row r="255">
          <cell r="B255" t="str">
            <v>High Pressure Sodium, 200W</v>
          </cell>
          <cell r="C255">
            <v>245</v>
          </cell>
          <cell r="D255">
            <v>18040</v>
          </cell>
          <cell r="E255" t="str">
            <v>M1</v>
          </cell>
          <cell r="F255" t="str">
            <v>call BPA</v>
          </cell>
          <cell r="G255" t="str">
            <v>Ceramic Metal Halide, 1-100W, 1-Elec</v>
          </cell>
          <cell r="Q255">
            <v>24000</v>
          </cell>
          <cell r="R255">
            <v>14.24</v>
          </cell>
          <cell r="S255">
            <v>0.4</v>
          </cell>
        </row>
        <row r="256">
          <cell r="B256" t="str">
            <v>High Pressure Sodium, 250W</v>
          </cell>
          <cell r="C256">
            <v>295</v>
          </cell>
          <cell r="D256">
            <v>22550</v>
          </cell>
          <cell r="E256" t="str">
            <v>M1</v>
          </cell>
          <cell r="F256" t="str">
            <v>call BPA</v>
          </cell>
          <cell r="G256" t="str">
            <v>Ceramic Metal Halide, 1-150W, 1-Elec</v>
          </cell>
          <cell r="Q256">
            <v>24000</v>
          </cell>
          <cell r="R256">
            <v>14.24</v>
          </cell>
          <cell r="S256">
            <v>0.4</v>
          </cell>
        </row>
        <row r="257">
          <cell r="B257" t="str">
            <v>High Pressure Sodium, 310W</v>
          </cell>
          <cell r="C257">
            <v>365</v>
          </cell>
          <cell r="D257">
            <v>30340</v>
          </cell>
          <cell r="E257" t="str">
            <v>M1</v>
          </cell>
          <cell r="F257" t="str">
            <v>call BPA</v>
          </cell>
          <cell r="G257" t="str">
            <v>Ceramic Metal Halide, 1-250W, 1-Elec</v>
          </cell>
          <cell r="Q257">
            <v>24000</v>
          </cell>
          <cell r="R257">
            <v>14.24</v>
          </cell>
          <cell r="S257">
            <v>0.4</v>
          </cell>
        </row>
        <row r="258">
          <cell r="B258" t="str">
            <v>High Pressure Sodium, 400W</v>
          </cell>
          <cell r="C258">
            <v>457</v>
          </cell>
          <cell r="D258">
            <v>41000</v>
          </cell>
          <cell r="E258" t="str">
            <v>M1</v>
          </cell>
          <cell r="F258" t="str">
            <v>call BPA</v>
          </cell>
          <cell r="G258" t="str">
            <v>Ceramic Metal Halide, 1-320W, 1-Elec</v>
          </cell>
          <cell r="Q258">
            <v>24000</v>
          </cell>
          <cell r="R258">
            <v>14.24</v>
          </cell>
          <cell r="S258">
            <v>0.4</v>
          </cell>
        </row>
        <row r="259">
          <cell r="B259" t="str">
            <v>----------------------------</v>
          </cell>
        </row>
        <row r="260">
          <cell r="B260" t="str">
            <v>MR-16 or MRC-16 Halogen Display Lamps, 20W</v>
          </cell>
          <cell r="C260">
            <v>20</v>
          </cell>
          <cell r="D260">
            <v>240</v>
          </cell>
          <cell r="E260" t="str">
            <v>M1</v>
          </cell>
          <cell r="F260" t="str">
            <v>call BPA</v>
          </cell>
          <cell r="G260" t="str">
            <v>Ceramic Metal Halide, 1-39W, 1-Elec</v>
          </cell>
          <cell r="Q260" t="str">
            <v>No Default</v>
          </cell>
          <cell r="R260" t="str">
            <v>No Default</v>
          </cell>
          <cell r="S260" t="str">
            <v>No Default</v>
          </cell>
        </row>
        <row r="261">
          <cell r="B261" t="str">
            <v>MR-16 or MRC-16 Halogen Display Lamps, 35W</v>
          </cell>
          <cell r="C261">
            <v>35</v>
          </cell>
          <cell r="D261">
            <v>490</v>
          </cell>
          <cell r="E261" t="str">
            <v>M1</v>
          </cell>
          <cell r="F261" t="str">
            <v>call BPA</v>
          </cell>
          <cell r="G261" t="str">
            <v>Ceramic Metal Halide, 1-39W, 1-Elec</v>
          </cell>
          <cell r="Q261" t="str">
            <v>No Default</v>
          </cell>
          <cell r="R261" t="str">
            <v>No Default</v>
          </cell>
          <cell r="S261" t="str">
            <v>No Default</v>
          </cell>
        </row>
        <row r="262">
          <cell r="B262" t="str">
            <v>MR-16 or MRC-16 Halogen Display Lamps, 40W</v>
          </cell>
          <cell r="C262">
            <v>40</v>
          </cell>
          <cell r="D262">
            <v>600</v>
          </cell>
          <cell r="E262" t="str">
            <v>M1</v>
          </cell>
          <cell r="F262" t="str">
            <v>call BPA</v>
          </cell>
          <cell r="G262" t="str">
            <v>Ceramic Metal Halide, 1-70W, 1-Elec</v>
          </cell>
          <cell r="Q262" t="str">
            <v>No Default</v>
          </cell>
          <cell r="R262" t="str">
            <v>No Default</v>
          </cell>
          <cell r="S262" t="str">
            <v>No Default</v>
          </cell>
        </row>
        <row r="263">
          <cell r="B263" t="str">
            <v>MR-16 or MRC-16 Halogen Display Lamps, 50W</v>
          </cell>
          <cell r="C263">
            <v>50</v>
          </cell>
          <cell r="D263">
            <v>790</v>
          </cell>
          <cell r="E263" t="str">
            <v>M1</v>
          </cell>
          <cell r="F263" t="str">
            <v>call BPA</v>
          </cell>
          <cell r="G263" t="str">
            <v>Ceramic Metal Halide, 1-100W, 1-Elec</v>
          </cell>
          <cell r="Q263" t="str">
            <v>No Default</v>
          </cell>
          <cell r="R263" t="str">
            <v>No Default</v>
          </cell>
          <cell r="S263" t="str">
            <v>No Default</v>
          </cell>
        </row>
        <row r="264">
          <cell r="B264" t="str">
            <v>MR-16 or MRC-16 Halogen Display Lamps, 75W</v>
          </cell>
          <cell r="C264">
            <v>75</v>
          </cell>
          <cell r="D264">
            <v>1320</v>
          </cell>
          <cell r="E264" t="str">
            <v>M1</v>
          </cell>
          <cell r="F264" t="str">
            <v>call BPA</v>
          </cell>
          <cell r="G264" t="str">
            <v>Ceramic Metal Halide, 1-150W, 1-Elec</v>
          </cell>
          <cell r="Q264" t="str">
            <v>No Default</v>
          </cell>
          <cell r="R264" t="str">
            <v>No Default</v>
          </cell>
          <cell r="S264" t="str">
            <v>No Default</v>
          </cell>
        </row>
        <row r="265">
          <cell r="B265" t="str">
            <v>=================================</v>
          </cell>
        </row>
        <row r="266">
          <cell r="B266" t="str">
            <v>ENTER OTHER NON-STANDARD MEASURES BELOW</v>
          </cell>
        </row>
        <row r="267">
          <cell r="B267" t="str">
            <v>=================================</v>
          </cell>
        </row>
        <row r="268">
          <cell r="G268" t="str">
            <v>Explain use of these measures and BPA approval in notes column on site audit tab.</v>
          </cell>
        </row>
        <row r="269">
          <cell r="G269" t="str">
            <v>Explain use of these measures and BPA approval in notes column on site audit tab.</v>
          </cell>
        </row>
        <row r="270">
          <cell r="G270" t="str">
            <v>Explain use of these measures and BPA approval in notes column on site audit tab.</v>
          </cell>
        </row>
        <row r="271">
          <cell r="B271" t="str">
            <v>=================================</v>
          </cell>
        </row>
      </sheetData>
      <sheetData sheetId="7">
        <row r="3">
          <cell r="B3" t="str">
            <v xml:space="preserve">   Description of Proposed Lamp/Ballast Combination</v>
          </cell>
        </row>
        <row r="7">
          <cell r="G7">
            <v>0.04</v>
          </cell>
        </row>
        <row r="14">
          <cell r="C14" t="str">
            <v>Infinite</v>
          </cell>
        </row>
      </sheetData>
      <sheetData sheetId="8">
        <row r="2">
          <cell r="D2">
            <v>1</v>
          </cell>
          <cell r="E2">
            <v>1</v>
          </cell>
        </row>
        <row r="5">
          <cell r="D5" t="str">
            <v>Enter information on Input Sheet</v>
          </cell>
          <cell r="E5" t="str">
            <v>Enter information on Input Sheet</v>
          </cell>
          <cell r="S5" t="str">
            <v>Index</v>
          </cell>
          <cell r="T5" t="str">
            <v>Select Electric Rate Schedule</v>
          </cell>
          <cell r="U5" t="str">
            <v>Energy Charge, $/kWh</v>
          </cell>
          <cell r="V5" t="str">
            <v>Demand Charge, $/kW</v>
          </cell>
          <cell r="W5" t="str">
            <v>Resource$mart</v>
          </cell>
          <cell r="X5" t="str">
            <v>Commercial_Industrial</v>
          </cell>
        </row>
        <row r="6">
          <cell r="D6" t="str">
            <v xml:space="preserve"> Office 20,000 to 100,000 sf</v>
          </cell>
          <cell r="E6" t="str">
            <v>Electric Resistance, No AC</v>
          </cell>
          <cell r="F6" t="str">
            <v xml:space="preserve"> Office 20,000 to 100,000 sf</v>
          </cell>
          <cell r="G6">
            <v>0.91608194383829877</v>
          </cell>
          <cell r="H6">
            <v>1.02</v>
          </cell>
          <cell r="I6">
            <v>1.0792819438382986</v>
          </cell>
          <cell r="J6">
            <v>1</v>
          </cell>
          <cell r="K6">
            <v>4200</v>
          </cell>
          <cell r="L6">
            <v>-8.1887999999999996E-3</v>
          </cell>
          <cell r="M6">
            <v>-3.8036976000000002E-3</v>
          </cell>
          <cell r="N6" t="str">
            <v>ExLgOffElecHt</v>
          </cell>
          <cell r="O6" t="str">
            <v>ExLgOffHtPmpHt</v>
          </cell>
          <cell r="P6" t="str">
            <v>ExLgOffGasHt</v>
          </cell>
          <cell r="Q6" t="str">
            <v>ExLgOff</v>
          </cell>
          <cell r="R6">
            <v>12</v>
          </cell>
          <cell r="S6">
            <v>1</v>
          </cell>
          <cell r="T6" t="str">
            <v>Enter information on Input Sheet</v>
          </cell>
          <cell r="U6">
            <v>0</v>
          </cell>
          <cell r="V6">
            <v>0</v>
          </cell>
          <cell r="W6">
            <v>0</v>
          </cell>
          <cell r="X6" t="str">
            <v>?</v>
          </cell>
        </row>
        <row r="7">
          <cell r="D7" t="str">
            <v xml:space="preserve"> Office &gt;100,000 sf</v>
          </cell>
          <cell r="E7" t="str">
            <v>Electric Resistance, w/ AC</v>
          </cell>
          <cell r="F7" t="str">
            <v xml:space="preserve"> Office &gt;100,000 sf</v>
          </cell>
          <cell r="G7">
            <v>0.90507113507518966</v>
          </cell>
          <cell r="H7">
            <v>1.02</v>
          </cell>
          <cell r="I7">
            <v>1.0682711350751894</v>
          </cell>
          <cell r="J7">
            <v>1</v>
          </cell>
          <cell r="K7">
            <v>3600</v>
          </cell>
          <cell r="L7">
            <v>-8.1887999999999996E-3</v>
          </cell>
          <cell r="M7">
            <v>-3.8036976000000002E-3</v>
          </cell>
          <cell r="N7" t="str">
            <v>ExLgOffElecHt</v>
          </cell>
          <cell r="O7" t="str">
            <v>ExLgOffHtPmpHt</v>
          </cell>
          <cell r="P7" t="str">
            <v>ExLgOffGasHt</v>
          </cell>
          <cell r="Q7" t="str">
            <v>ExLgOff</v>
          </cell>
          <cell r="R7">
            <v>12</v>
          </cell>
          <cell r="S7">
            <v>2</v>
          </cell>
          <cell r="T7" t="str">
            <v>Sch. 2, Commercial &lt;40 kW</v>
          </cell>
          <cell r="U7">
            <v>2.7032E-2</v>
          </cell>
          <cell r="V7">
            <v>0</v>
          </cell>
          <cell r="W7">
            <v>0.06</v>
          </cell>
          <cell r="X7" t="str">
            <v>C</v>
          </cell>
        </row>
        <row r="8">
          <cell r="D8" t="str">
            <v xml:space="preserve"> Office &lt;20,000 sf</v>
          </cell>
          <cell r="E8" t="str">
            <v>Heat Pump</v>
          </cell>
          <cell r="F8" t="str">
            <v xml:space="preserve"> Office &lt;20,000 sf</v>
          </cell>
          <cell r="G8">
            <v>0.69090427312002767</v>
          </cell>
          <cell r="H8">
            <v>0.95499999999999996</v>
          </cell>
          <cell r="I8">
            <v>1.1170376064533609</v>
          </cell>
          <cell r="J8">
            <v>1</v>
          </cell>
          <cell r="K8">
            <v>3000</v>
          </cell>
          <cell r="L8">
            <v>-2.1381866666666666E-2</v>
          </cell>
          <cell r="M8">
            <v>-9.9318770666666674E-3</v>
          </cell>
          <cell r="N8" t="str">
            <v>ExSmOffElecHt</v>
          </cell>
          <cell r="O8" t="str">
            <v>ExSmOffHtPmpHt</v>
          </cell>
          <cell r="P8" t="str">
            <v>ExSmOffGasHt</v>
          </cell>
          <cell r="Q8" t="str">
            <v>ExSmOff</v>
          </cell>
          <cell r="R8">
            <v>12</v>
          </cell>
          <cell r="S8">
            <v>3</v>
          </cell>
          <cell r="T8" t="str">
            <v>Sch. 2, Commercial &gt;40 kW</v>
          </cell>
          <cell r="U8">
            <v>2.6596000000000005E-2</v>
          </cell>
          <cell r="V8">
            <v>2.31</v>
          </cell>
          <cell r="W8">
            <v>0.06</v>
          </cell>
          <cell r="X8" t="str">
            <v>C</v>
          </cell>
        </row>
        <row r="9">
          <cell r="D9" t="str">
            <v xml:space="preserve"> Retail Big Box &gt;50,000 sf One-Story</v>
          </cell>
          <cell r="E9" t="str">
            <v>Gas Heat, No Air Cond.</v>
          </cell>
          <cell r="F9" t="str">
            <v xml:space="preserve"> Retail Big Box &gt;50,000 sf One-Story</v>
          </cell>
          <cell r="G9">
            <v>0.81860997890071918</v>
          </cell>
          <cell r="H9">
            <v>1.0249999999999999</v>
          </cell>
          <cell r="I9">
            <v>1.1178099789007192</v>
          </cell>
          <cell r="J9">
            <v>1</v>
          </cell>
          <cell r="K9">
            <v>4800</v>
          </cell>
          <cell r="L9">
            <v>-1.50128E-2</v>
          </cell>
          <cell r="M9">
            <v>-6.9734456000000002E-3</v>
          </cell>
          <cell r="N9" t="str">
            <v>ExLgRetElecHt</v>
          </cell>
          <cell r="O9" t="str">
            <v>ExLgRetHtPmpHt</v>
          </cell>
          <cell r="P9" t="str">
            <v>ExLgRetGasHt</v>
          </cell>
          <cell r="Q9" t="str">
            <v>ExLgRet</v>
          </cell>
          <cell r="R9">
            <v>12</v>
          </cell>
          <cell r="S9">
            <v>4</v>
          </cell>
          <cell r="T9" t="str">
            <v>Sch. 3, Industrial</v>
          </cell>
          <cell r="U9">
            <v>1.3734000000000001E-2</v>
          </cell>
          <cell r="V9">
            <v>3.5207000000000002</v>
          </cell>
          <cell r="W9">
            <v>0.15</v>
          </cell>
          <cell r="X9" t="str">
            <v>I</v>
          </cell>
        </row>
        <row r="10">
          <cell r="D10" t="str">
            <v xml:space="preserve"> Retail 5,000 to 50,000 sf</v>
          </cell>
          <cell r="E10" t="str">
            <v>Gas w/ Air Cond.</v>
          </cell>
          <cell r="F10" t="str">
            <v xml:space="preserve"> Retail 5,000 to 50,000 sf</v>
          </cell>
          <cell r="G10">
            <v>0.68089046306021284</v>
          </cell>
          <cell r="H10">
            <v>0.92500000000000004</v>
          </cell>
          <cell r="I10">
            <v>1.034490463060213</v>
          </cell>
          <cell r="J10">
            <v>1</v>
          </cell>
          <cell r="K10">
            <v>3900</v>
          </cell>
          <cell r="L10">
            <v>-1.7742399999999998E-2</v>
          </cell>
          <cell r="M10">
            <v>-8.2413447999999997E-3</v>
          </cell>
          <cell r="N10" t="str">
            <v>ExSmRetElecHt</v>
          </cell>
          <cell r="O10" t="str">
            <v>ExSmRetHtPmpHt</v>
          </cell>
          <cell r="P10" t="str">
            <v>ExSmRetGasHt</v>
          </cell>
          <cell r="Q10" t="str">
            <v>ExSmRet</v>
          </cell>
          <cell r="R10">
            <v>12</v>
          </cell>
          <cell r="S10">
            <v>5</v>
          </cell>
          <cell r="T10" t="str">
            <v>Sch. 30, Industrial, Time of Use</v>
          </cell>
          <cell r="U10">
            <v>1.3145399999999998E-2</v>
          </cell>
          <cell r="V10">
            <v>3.5207000000000002</v>
          </cell>
          <cell r="W10">
            <v>0.15</v>
          </cell>
          <cell r="X10" t="str">
            <v>I</v>
          </cell>
        </row>
        <row r="11">
          <cell r="D11" t="str">
            <v xml:space="preserve"> Retail Boutique &lt;5,000 sf</v>
          </cell>
          <cell r="E11" t="str">
            <v>Refrigerated or Cooled</v>
          </cell>
          <cell r="F11" t="str">
            <v xml:space="preserve"> Retail Boutique &lt;5,000 sf</v>
          </cell>
          <cell r="G11">
            <v>0.76309370940250187</v>
          </cell>
          <cell r="H11">
            <v>0.97499999999999998</v>
          </cell>
          <cell r="I11">
            <v>1.0441603760691687</v>
          </cell>
          <cell r="J11">
            <v>1</v>
          </cell>
          <cell r="K11">
            <v>3400</v>
          </cell>
          <cell r="L11">
            <v>-1.4102933333333333E-2</v>
          </cell>
          <cell r="M11">
            <v>-6.5508125333333337E-3</v>
          </cell>
          <cell r="N11" t="str">
            <v>ExSmRetElecHt</v>
          </cell>
          <cell r="O11" t="str">
            <v>ExSmRetHtPmpHt</v>
          </cell>
          <cell r="P11" t="str">
            <v>ExSmRetGasHt</v>
          </cell>
          <cell r="Q11" t="str">
            <v>ExSmRet</v>
          </cell>
          <cell r="R11">
            <v>12</v>
          </cell>
          <cell r="S11" t="str">
            <v>Index</v>
          </cell>
          <cell r="X11" t="str">
            <v>?</v>
          </cell>
        </row>
        <row r="12">
          <cell r="D12" t="str">
            <v xml:space="preserve"> Retail Anchor Store &gt;50,000 sf Multistory</v>
          </cell>
          <cell r="E12" t="str">
            <v>Unconditioned</v>
          </cell>
          <cell r="F12" t="str">
            <v xml:space="preserve"> Retail Anchor Store &gt;50,000 sf Multistory</v>
          </cell>
          <cell r="G12">
            <v>0.7107865827309866</v>
          </cell>
          <cell r="H12">
            <v>0.96499999999999997</v>
          </cell>
          <cell r="I12">
            <v>1.1006532493976531</v>
          </cell>
          <cell r="J12">
            <v>1</v>
          </cell>
          <cell r="K12">
            <v>4000</v>
          </cell>
          <cell r="L12">
            <v>-1.9562133333333332E-2</v>
          </cell>
          <cell r="M12">
            <v>-9.0866109333333327E-3</v>
          </cell>
          <cell r="N12" t="str">
            <v>ExLgRetElecHt</v>
          </cell>
          <cell r="O12" t="str">
            <v>ExLgRetHtPmpHt</v>
          </cell>
          <cell r="P12" t="str">
            <v>ExLgRetGasHt</v>
          </cell>
          <cell r="Q12" t="str">
            <v>ExLgRet</v>
          </cell>
          <cell r="R12">
            <v>12</v>
          </cell>
          <cell r="S12">
            <v>1</v>
          </cell>
          <cell r="T12" t="str">
            <v>Enter information on Input Sheet</v>
          </cell>
          <cell r="U12">
            <v>0</v>
          </cell>
          <cell r="V12">
            <v>0</v>
          </cell>
          <cell r="W12">
            <v>0</v>
          </cell>
        </row>
        <row r="13">
          <cell r="D13" t="str">
            <v xml:space="preserve"> School K-12</v>
          </cell>
          <cell r="F13" t="str">
            <v xml:space="preserve"> School K-12</v>
          </cell>
          <cell r="G13">
            <v>0.56880821985150298</v>
          </cell>
          <cell r="H13">
            <v>0.86</v>
          </cell>
          <cell r="I13">
            <v>1.004008219851503</v>
          </cell>
          <cell r="J13">
            <v>1</v>
          </cell>
          <cell r="K13">
            <v>2400</v>
          </cell>
          <cell r="L13">
            <v>-2.18368E-2</v>
          </cell>
          <cell r="M13">
            <v>-1.0143193600000001E-2</v>
          </cell>
          <cell r="N13" t="str">
            <v>ExSchoolElecHt</v>
          </cell>
          <cell r="O13" t="str">
            <v>ExSchoolHtPmpHt</v>
          </cell>
          <cell r="P13" t="str">
            <v>ExSchoolGasHt</v>
          </cell>
          <cell r="Q13" t="str">
            <v>ExSchool</v>
          </cell>
          <cell r="R13">
            <v>12</v>
          </cell>
        </row>
        <row r="14">
          <cell r="D14" t="str">
            <v xml:space="preserve"> College or University</v>
          </cell>
          <cell r="F14" t="str">
            <v xml:space="preserve"> College or University</v>
          </cell>
          <cell r="G14">
            <v>0.68206321012448889</v>
          </cell>
          <cell r="H14">
            <v>0.95499999999999996</v>
          </cell>
          <cell r="I14">
            <v>1.1081965434578223</v>
          </cell>
          <cell r="J14">
            <v>1</v>
          </cell>
          <cell r="K14">
            <v>3000</v>
          </cell>
          <cell r="L14">
            <v>-2.1381866666666666E-2</v>
          </cell>
          <cell r="M14">
            <v>-9.9318770666666674E-3</v>
          </cell>
          <cell r="N14" t="str">
            <v>ExSchoolElecHt</v>
          </cell>
          <cell r="O14" t="str">
            <v>ExSchoolHtPmpHt</v>
          </cell>
          <cell r="P14" t="str">
            <v>ExSchoolGasHt</v>
          </cell>
          <cell r="Q14" t="str">
            <v>ExSchool</v>
          </cell>
          <cell r="R14">
            <v>12</v>
          </cell>
        </row>
        <row r="15">
          <cell r="D15" t="str">
            <v xml:space="preserve"> Warehouse</v>
          </cell>
          <cell r="F15" t="str">
            <v xml:space="preserve"> Warehouse</v>
          </cell>
          <cell r="G15">
            <v>0.61</v>
          </cell>
          <cell r="H15">
            <v>0.80500000000000005</v>
          </cell>
          <cell r="I15">
            <v>0.96360000000000012</v>
          </cell>
          <cell r="J15">
            <v>1</v>
          </cell>
          <cell r="K15">
            <v>3500</v>
          </cell>
          <cell r="L15">
            <v>-1.7742399999999998E-2</v>
          </cell>
          <cell r="M15">
            <v>-8.2413447999999997E-3</v>
          </cell>
          <cell r="N15" t="str">
            <v>ExWarehElecHt</v>
          </cell>
          <cell r="O15" t="str">
            <v>ExWarehHtPmpHt</v>
          </cell>
          <cell r="P15" t="str">
            <v>ExWarehGasHt</v>
          </cell>
          <cell r="Q15" t="str">
            <v>ExWareh</v>
          </cell>
          <cell r="R15">
            <v>12</v>
          </cell>
        </row>
        <row r="16">
          <cell r="D16" t="str">
            <v xml:space="preserve"> Retail Supermarket</v>
          </cell>
          <cell r="F16" t="str">
            <v xml:space="preserve"> Retail Supermarket</v>
          </cell>
          <cell r="G16">
            <v>0.85300665369731465</v>
          </cell>
          <cell r="H16">
            <v>0.97</v>
          </cell>
          <cell r="I16">
            <v>1.0524733203639813</v>
          </cell>
          <cell r="J16">
            <v>1</v>
          </cell>
          <cell r="K16">
            <v>6500</v>
          </cell>
          <cell r="L16">
            <v>-1.0008533333333333E-2</v>
          </cell>
          <cell r="M16">
            <v>-4.6489637333333332E-3</v>
          </cell>
          <cell r="N16" t="str">
            <v>ExGrocElecHt</v>
          </cell>
          <cell r="O16" t="str">
            <v>ExGrocHtPmpHt</v>
          </cell>
          <cell r="P16" t="str">
            <v>ExGrocGasHt</v>
          </cell>
          <cell r="Q16" t="str">
            <v>ExGroc</v>
          </cell>
          <cell r="R16">
            <v>12</v>
          </cell>
        </row>
        <row r="17">
          <cell r="D17" t="str">
            <v xml:space="preserve"> Retail Mini Mart</v>
          </cell>
          <cell r="F17" t="str">
            <v xml:space="preserve"> Retail Mini Mart</v>
          </cell>
          <cell r="G17">
            <v>0.69497397374755487</v>
          </cell>
          <cell r="H17">
            <v>0.94499999999999995</v>
          </cell>
          <cell r="I17">
            <v>1.048573973747555</v>
          </cell>
          <cell r="J17">
            <v>1</v>
          </cell>
          <cell r="K17">
            <v>6500</v>
          </cell>
          <cell r="L17">
            <v>-1.7742399999999998E-2</v>
          </cell>
          <cell r="M17">
            <v>-8.2413447999999997E-3</v>
          </cell>
          <cell r="N17" t="str">
            <v>ExGrocElecHt</v>
          </cell>
          <cell r="O17" t="str">
            <v>ExGrocHtPmpHt</v>
          </cell>
          <cell r="P17" t="str">
            <v>ExGrocGasHt</v>
          </cell>
          <cell r="Q17" t="str">
            <v>ExGroc</v>
          </cell>
          <cell r="R17">
            <v>12</v>
          </cell>
        </row>
        <row r="18">
          <cell r="D18" t="str">
            <v xml:space="preserve"> Restaurant</v>
          </cell>
          <cell r="F18" t="str">
            <v xml:space="preserve"> Restaurant</v>
          </cell>
          <cell r="G18">
            <v>0.42513248540947907</v>
          </cell>
          <cell r="H18">
            <v>0.72499999999999998</v>
          </cell>
          <cell r="I18">
            <v>0.96006581874281216</v>
          </cell>
          <cell r="J18">
            <v>1</v>
          </cell>
          <cell r="K18">
            <v>5000</v>
          </cell>
          <cell r="L18">
            <v>-2.6841066666666667E-2</v>
          </cell>
          <cell r="M18">
            <v>-1.2467675466666668E-2</v>
          </cell>
          <cell r="N18" t="str">
            <v>ExRestElecHt</v>
          </cell>
          <cell r="O18" t="str">
            <v>ExRestHtPmpHt</v>
          </cell>
          <cell r="P18" t="str">
            <v>ExRestGasHt</v>
          </cell>
          <cell r="Q18" t="str">
            <v>ExRest</v>
          </cell>
          <cell r="R18">
            <v>12</v>
          </cell>
        </row>
        <row r="19">
          <cell r="D19" t="str">
            <v xml:space="preserve"> Lodging</v>
          </cell>
          <cell r="F19" t="str">
            <v xml:space="preserve"> Lodging</v>
          </cell>
          <cell r="G19">
            <v>0.68527162451627266</v>
          </cell>
          <cell r="H19">
            <v>0.9</v>
          </cell>
          <cell r="I19">
            <v>1.0479382911829394</v>
          </cell>
          <cell r="J19">
            <v>1</v>
          </cell>
          <cell r="K19">
            <v>3600</v>
          </cell>
          <cell r="L19">
            <v>-1.8197333333333333E-2</v>
          </cell>
          <cell r="M19">
            <v>-8.4526613333333334E-3</v>
          </cell>
          <cell r="N19" t="str">
            <v>ExHotelElecHt</v>
          </cell>
          <cell r="O19" t="str">
            <v>ExHotelHtPmpHt</v>
          </cell>
          <cell r="P19" t="str">
            <v>ExHotelGasHt</v>
          </cell>
          <cell r="Q19" t="str">
            <v>ExHotel</v>
          </cell>
          <cell r="R19">
            <v>12</v>
          </cell>
        </row>
        <row r="20">
          <cell r="D20" t="str">
            <v xml:space="preserve"> Hospital</v>
          </cell>
          <cell r="F20" t="str">
            <v xml:space="preserve"> Hospital</v>
          </cell>
          <cell r="G20">
            <v>0.28912583171216438</v>
          </cell>
          <cell r="H20">
            <v>0.65</v>
          </cell>
          <cell r="I20">
            <v>0.94192583171216437</v>
          </cell>
          <cell r="J20">
            <v>1</v>
          </cell>
          <cell r="K20">
            <v>5900</v>
          </cell>
          <cell r="L20">
            <v>-3.2755199999999998E-2</v>
          </cell>
          <cell r="M20">
            <v>-1.5214790400000001E-2</v>
          </cell>
          <cell r="N20" t="str">
            <v>ExHealthElecHt</v>
          </cell>
          <cell r="O20" t="str">
            <v>ExHealthHtPmpHt</v>
          </cell>
          <cell r="P20" t="str">
            <v>ExHealthGasHt</v>
          </cell>
          <cell r="Q20" t="str">
            <v>ExHealth</v>
          </cell>
          <cell r="R20">
            <v>12</v>
          </cell>
        </row>
        <row r="21">
          <cell r="D21" t="str">
            <v xml:space="preserve"> Other Health, Nursing, Medical Clinic</v>
          </cell>
          <cell r="F21" t="str">
            <v xml:space="preserve"> Other Health, Nursing, Medical Clinic</v>
          </cell>
          <cell r="G21">
            <v>0.91873780836733077</v>
          </cell>
          <cell r="H21">
            <v>1.02</v>
          </cell>
          <cell r="I21">
            <v>1.0819378083673306</v>
          </cell>
          <cell r="J21">
            <v>1</v>
          </cell>
          <cell r="K21">
            <v>3600</v>
          </cell>
          <cell r="L21">
            <v>-8.1887999999999996E-3</v>
          </cell>
          <cell r="M21">
            <v>-3.8036976000000002E-3</v>
          </cell>
          <cell r="N21" t="str">
            <v>ExHealthElecHt</v>
          </cell>
          <cell r="O21" t="str">
            <v>ExHealthHtPmpHt</v>
          </cell>
          <cell r="P21" t="str">
            <v>ExHealthGasHt</v>
          </cell>
          <cell r="Q21" t="str">
            <v>ExHealth</v>
          </cell>
          <cell r="R21">
            <v>12</v>
          </cell>
        </row>
        <row r="22">
          <cell r="D22" t="str">
            <v xml:space="preserve"> Other Commercial</v>
          </cell>
          <cell r="F22" t="str">
            <v xml:space="preserve"> Other Commercial</v>
          </cell>
          <cell r="G22">
            <v>0.86680489300284569</v>
          </cell>
          <cell r="H22">
            <v>1.02</v>
          </cell>
          <cell r="I22">
            <v>1.0300048930028456</v>
          </cell>
          <cell r="J22">
            <v>1</v>
          </cell>
          <cell r="K22">
            <v>4000</v>
          </cell>
          <cell r="L22">
            <v>-8.1887999999999996E-3</v>
          </cell>
          <cell r="M22">
            <v>-3.8036976000000002E-3</v>
          </cell>
          <cell r="N22" t="str">
            <v>ExCommLight</v>
          </cell>
          <cell r="O22" t="str">
            <v>ExCommLight</v>
          </cell>
          <cell r="P22" t="str">
            <v>ExCommLight</v>
          </cell>
          <cell r="Q22" t="str">
            <v>ExCommLight</v>
          </cell>
          <cell r="R22">
            <v>12</v>
          </cell>
        </row>
        <row r="23">
          <cell r="D23" t="str">
            <v>Industrial Plant with One Shift</v>
          </cell>
          <cell r="F23" t="str">
            <v>Industrial Plant with One Shift</v>
          </cell>
          <cell r="G23">
            <v>0.61</v>
          </cell>
          <cell r="H23">
            <v>0.80500000000000005</v>
          </cell>
          <cell r="I23">
            <v>0.96360000000000012</v>
          </cell>
          <cell r="J23">
            <v>1</v>
          </cell>
          <cell r="K23">
            <v>2250</v>
          </cell>
          <cell r="L23">
            <v>-1.7742399999999998E-2</v>
          </cell>
          <cell r="M23">
            <v>-8.2413447999999997E-3</v>
          </cell>
          <cell r="N23" t="str">
            <v>IndShift1</v>
          </cell>
          <cell r="O23" t="str">
            <v>IndShift1</v>
          </cell>
          <cell r="P23" t="str">
            <v>IndShift1</v>
          </cell>
          <cell r="Q23" t="str">
            <v>IndShift1</v>
          </cell>
          <cell r="R23">
            <v>12</v>
          </cell>
        </row>
        <row r="24">
          <cell r="D24" t="str">
            <v>Industrial Plant with Three Shifts</v>
          </cell>
          <cell r="F24" t="str">
            <v>Industrial Plant with Three Shifts</v>
          </cell>
          <cell r="G24">
            <v>0.61</v>
          </cell>
          <cell r="H24">
            <v>0.80500000000000005</v>
          </cell>
          <cell r="I24">
            <v>0.96360000000000012</v>
          </cell>
          <cell r="J24">
            <v>1</v>
          </cell>
          <cell r="K24">
            <v>8400</v>
          </cell>
          <cell r="L24">
            <v>-1.7742399999999998E-2</v>
          </cell>
          <cell r="M24">
            <v>-8.2413447999999997E-3</v>
          </cell>
          <cell r="N24" t="str">
            <v>IndShift3</v>
          </cell>
          <cell r="O24" t="str">
            <v>IndShift3</v>
          </cell>
          <cell r="P24" t="str">
            <v>IndShift3</v>
          </cell>
          <cell r="Q24" t="str">
            <v>IndShift3</v>
          </cell>
          <cell r="R24">
            <v>12</v>
          </cell>
        </row>
        <row r="25">
          <cell r="D25" t="str">
            <v>Industrial Plant with Two Shifts</v>
          </cell>
          <cell r="F25" t="str">
            <v>Industrial Plant with Two Shifts</v>
          </cell>
          <cell r="G25">
            <v>0.61</v>
          </cell>
          <cell r="H25">
            <v>0.80500000000000005</v>
          </cell>
          <cell r="I25">
            <v>0.96360000000000012</v>
          </cell>
          <cell r="J25">
            <v>1</v>
          </cell>
          <cell r="K25">
            <v>4500</v>
          </cell>
          <cell r="L25">
            <v>-1.7742399999999998E-2</v>
          </cell>
          <cell r="M25">
            <v>-8.2413447999999997E-3</v>
          </cell>
          <cell r="N25" t="str">
            <v>IndShift2</v>
          </cell>
          <cell r="O25" t="str">
            <v>IndShift2</v>
          </cell>
          <cell r="P25" t="str">
            <v>IndShift2</v>
          </cell>
          <cell r="Q25" t="str">
            <v>IndShift2</v>
          </cell>
          <cell r="R25">
            <v>12</v>
          </cell>
        </row>
        <row r="26">
          <cell r="D26" t="str">
            <v>Exterior 24 Hour Operation</v>
          </cell>
          <cell r="F26" t="str">
            <v>Exterior 24 Hour Operation</v>
          </cell>
          <cell r="G26">
            <v>1</v>
          </cell>
          <cell r="H26">
            <v>1</v>
          </cell>
          <cell r="I26">
            <v>1</v>
          </cell>
          <cell r="J26">
            <v>1</v>
          </cell>
          <cell r="K26">
            <v>8760</v>
          </cell>
          <cell r="L26">
            <v>0</v>
          </cell>
          <cell r="M26">
            <v>0</v>
          </cell>
          <cell r="N26" t="str">
            <v>Flat</v>
          </cell>
          <cell r="O26" t="str">
            <v>Flat</v>
          </cell>
          <cell r="P26" t="str">
            <v>Flat</v>
          </cell>
          <cell r="Q26" t="str">
            <v>Flat</v>
          </cell>
          <cell r="R26">
            <v>12</v>
          </cell>
        </row>
        <row r="27">
          <cell r="D27" t="str">
            <v>Street &amp; Area Lighting (Photo Sensor Controlled)</v>
          </cell>
          <cell r="F27" t="str">
            <v>Street &amp; Area Lighting (Photo Sensor Controlled)</v>
          </cell>
          <cell r="G27">
            <v>1</v>
          </cell>
          <cell r="H27">
            <v>1</v>
          </cell>
          <cell r="I27">
            <v>1</v>
          </cell>
          <cell r="J27">
            <v>1</v>
          </cell>
          <cell r="K27">
            <v>5400</v>
          </cell>
          <cell r="L27">
            <v>0</v>
          </cell>
          <cell r="M27">
            <v>0</v>
          </cell>
          <cell r="N27" t="str">
            <v>StreetLight</v>
          </cell>
          <cell r="O27" t="str">
            <v>StreetLight</v>
          </cell>
          <cell r="P27" t="str">
            <v>StreetLight</v>
          </cell>
          <cell r="Q27" t="str">
            <v>StreetLight</v>
          </cell>
          <cell r="R27">
            <v>12</v>
          </cell>
        </row>
      </sheetData>
      <sheetData sheetId="9">
        <row r="2">
          <cell r="D2">
            <v>1</v>
          </cell>
        </row>
        <row r="4">
          <cell r="C4" t="str">
            <v>ExCommLight</v>
          </cell>
          <cell r="D4">
            <v>0.46224000000000004</v>
          </cell>
        </row>
        <row r="5">
          <cell r="C5" t="str">
            <v>ExGrocHtPmpHt</v>
          </cell>
          <cell r="D5">
            <v>0.43012</v>
          </cell>
        </row>
        <row r="6">
          <cell r="C6" t="str">
            <v>ExGrocElecHt</v>
          </cell>
          <cell r="D6">
            <v>0.46860000000000002</v>
          </cell>
        </row>
        <row r="7">
          <cell r="C7" t="str">
            <v>ExGrocGasHt</v>
          </cell>
          <cell r="D7">
            <v>0.42377999999999999</v>
          </cell>
        </row>
        <row r="8">
          <cell r="C8" t="str">
            <v>ExGroc</v>
          </cell>
          <cell r="D8">
            <v>0.43002000000000001</v>
          </cell>
        </row>
        <row r="9">
          <cell r="C9" t="str">
            <v>ExHealthHtPmpHt</v>
          </cell>
          <cell r="D9">
            <v>0.45966000000000001</v>
          </cell>
        </row>
        <row r="10">
          <cell r="C10" t="str">
            <v>ExHealthElecHt</v>
          </cell>
          <cell r="D10">
            <v>0.62230000000000008</v>
          </cell>
        </row>
        <row r="11">
          <cell r="C11" t="str">
            <v>ExHealthGasHt</v>
          </cell>
          <cell r="D11">
            <v>0.43944</v>
          </cell>
        </row>
        <row r="12">
          <cell r="C12" t="str">
            <v>ExHealth</v>
          </cell>
          <cell r="D12">
            <v>0.4677</v>
          </cell>
        </row>
        <row r="13">
          <cell r="C13" t="str">
            <v>ExHotelHtPmpHt</v>
          </cell>
          <cell r="D13">
            <v>0.45980000000000004</v>
          </cell>
        </row>
        <row r="14">
          <cell r="C14" t="str">
            <v>ExHotelElecHt</v>
          </cell>
          <cell r="D14">
            <v>0.50822000000000001</v>
          </cell>
        </row>
        <row r="15">
          <cell r="C15" t="str">
            <v>ExHotelGasHt</v>
          </cell>
          <cell r="D15">
            <v>0.44824000000000003</v>
          </cell>
        </row>
        <row r="16">
          <cell r="C16" t="str">
            <v>ExHotel</v>
          </cell>
          <cell r="D16">
            <v>0.46314</v>
          </cell>
        </row>
        <row r="17">
          <cell r="C17" t="str">
            <v>ExLgOffHtPmpHt</v>
          </cell>
          <cell r="D17">
            <v>0.46783999999999998</v>
          </cell>
        </row>
        <row r="18">
          <cell r="C18" t="str">
            <v>ExLgOffElecHt</v>
          </cell>
          <cell r="D18">
            <v>0.50966</v>
          </cell>
        </row>
        <row r="19">
          <cell r="C19" t="str">
            <v>ExLgOffGasHt</v>
          </cell>
          <cell r="D19">
            <v>0.46660000000000001</v>
          </cell>
        </row>
        <row r="20">
          <cell r="C20" t="str">
            <v>ExLgOff</v>
          </cell>
          <cell r="D20">
            <v>0.48411999999999999</v>
          </cell>
        </row>
        <row r="21">
          <cell r="C21" t="str">
            <v>ExLgRetHtPmpHt</v>
          </cell>
          <cell r="D21">
            <v>0.45566000000000001</v>
          </cell>
        </row>
        <row r="22">
          <cell r="C22" t="str">
            <v>ExLgRetElecHt</v>
          </cell>
          <cell r="D22">
            <v>0.46233999999999997</v>
          </cell>
        </row>
        <row r="23">
          <cell r="C23" t="str">
            <v>ExLgRetGasHt</v>
          </cell>
          <cell r="D23">
            <v>0.45566000000000001</v>
          </cell>
        </row>
        <row r="24">
          <cell r="C24" t="str">
            <v>ExLgRet</v>
          </cell>
          <cell r="D24">
            <v>0.45676</v>
          </cell>
        </row>
        <row r="25">
          <cell r="C25" t="str">
            <v>ExCommLight</v>
          </cell>
          <cell r="D25">
            <v>0.46224000000000004</v>
          </cell>
        </row>
        <row r="26">
          <cell r="C26" t="str">
            <v>ExRestHtPmpHt</v>
          </cell>
          <cell r="D26">
            <v>0.44023999999999996</v>
          </cell>
        </row>
        <row r="27">
          <cell r="C27" t="str">
            <v>ExRestElecHt</v>
          </cell>
          <cell r="D27">
            <v>0.49806</v>
          </cell>
        </row>
        <row r="28">
          <cell r="C28" t="str">
            <v>ExRestGasHt</v>
          </cell>
          <cell r="D28">
            <v>0.42887999999999998</v>
          </cell>
        </row>
        <row r="29">
          <cell r="C29" t="str">
            <v>ExRest</v>
          </cell>
          <cell r="D29">
            <v>0.43937999999999999</v>
          </cell>
        </row>
        <row r="30">
          <cell r="C30" t="str">
            <v>ExSchoolHtPmpHt</v>
          </cell>
          <cell r="D30">
            <v>0.46433999999999997</v>
          </cell>
        </row>
        <row r="31">
          <cell r="C31" t="str">
            <v>ExSchoolElecHt</v>
          </cell>
          <cell r="D31">
            <v>0.54624000000000006</v>
          </cell>
        </row>
        <row r="32">
          <cell r="C32" t="str">
            <v>ExSchoolGasHt</v>
          </cell>
          <cell r="D32">
            <v>0.4395</v>
          </cell>
        </row>
        <row r="33">
          <cell r="C33" t="str">
            <v>ExSchool</v>
          </cell>
          <cell r="D33">
            <v>0.45219999999999999</v>
          </cell>
        </row>
        <row r="34">
          <cell r="C34" t="str">
            <v>ExSmRetHtPmpHt</v>
          </cell>
          <cell r="D34">
            <v>0.48394000000000004</v>
          </cell>
        </row>
        <row r="35">
          <cell r="C35" t="str">
            <v>ExSmRetGasHt</v>
          </cell>
          <cell r="D35">
            <v>0.47043999999999997</v>
          </cell>
        </row>
        <row r="36">
          <cell r="C36" t="str">
            <v>ExSmRet</v>
          </cell>
          <cell r="D36">
            <v>0.48022000000000004</v>
          </cell>
        </row>
        <row r="37">
          <cell r="C37" t="str">
            <v>ExSmOffHtPmpHt</v>
          </cell>
          <cell r="D37">
            <v>0.43457999999999997</v>
          </cell>
        </row>
        <row r="38">
          <cell r="C38" t="str">
            <v>ExSmOffElecHt</v>
          </cell>
          <cell r="D38">
            <v>0.48547999999999997</v>
          </cell>
        </row>
        <row r="39">
          <cell r="C39" t="str">
            <v>ExSmOffGasHt</v>
          </cell>
          <cell r="D39">
            <v>0.43019999999999997</v>
          </cell>
        </row>
        <row r="40">
          <cell r="C40" t="str">
            <v>ExSmOff</v>
          </cell>
          <cell r="D40">
            <v>0.44314000000000003</v>
          </cell>
        </row>
        <row r="41">
          <cell r="C41" t="str">
            <v>ExSmRetElecHt</v>
          </cell>
          <cell r="D41">
            <v>0.51482000000000006</v>
          </cell>
        </row>
        <row r="42">
          <cell r="C42" t="str">
            <v>ExWarehHtPmpHt</v>
          </cell>
          <cell r="D42">
            <v>0.46060000000000001</v>
          </cell>
        </row>
        <row r="43">
          <cell r="C43" t="str">
            <v>ExWarehElecHt</v>
          </cell>
          <cell r="D43">
            <v>0.48148000000000002</v>
          </cell>
        </row>
        <row r="44">
          <cell r="C44" t="str">
            <v>ExWarehGasHt</v>
          </cell>
          <cell r="D44">
            <v>0.45498</v>
          </cell>
        </row>
        <row r="45">
          <cell r="C45" t="str">
            <v>ExWareh</v>
          </cell>
          <cell r="D45">
            <v>0.46304000000000001</v>
          </cell>
        </row>
        <row r="46">
          <cell r="C46" t="str">
            <v>FLAT</v>
          </cell>
          <cell r="D46">
            <v>0.40406000000000003</v>
          </cell>
        </row>
        <row r="47">
          <cell r="C47" t="str">
            <v>SysLoad</v>
          </cell>
          <cell r="D47">
            <v>0.44352000000000003</v>
          </cell>
        </row>
        <row r="48">
          <cell r="C48" t="str">
            <v>StreetLight</v>
          </cell>
          <cell r="D48">
            <v>0.36021999999999998</v>
          </cell>
        </row>
        <row r="49">
          <cell r="C49" t="str">
            <v>IndShift1</v>
          </cell>
          <cell r="D49">
            <v>0.49199999999999999</v>
          </cell>
        </row>
        <row r="50">
          <cell r="C50" t="str">
            <v>IndShift3</v>
          </cell>
          <cell r="D50">
            <v>0.4254</v>
          </cell>
        </row>
        <row r="51">
          <cell r="C51" t="str">
            <v>IndShift2</v>
          </cell>
          <cell r="D51">
            <v>0.47815999999999997</v>
          </cell>
        </row>
      </sheetData>
      <sheetData sheetId="10" refreshError="1"/>
      <sheetData sheetId="11" refreshError="1"/>
      <sheetData sheetId="12" refreshError="1"/>
      <sheetData sheetId="13" refreshError="1"/>
      <sheetData sheetId="14">
        <row r="11">
          <cell r="I11">
            <v>0</v>
          </cell>
        </row>
        <row r="17">
          <cell r="I17">
            <v>0</v>
          </cell>
        </row>
        <row r="21">
          <cell r="I21">
            <v>0</v>
          </cell>
        </row>
        <row r="25">
          <cell r="I25">
            <v>0</v>
          </cell>
        </row>
        <row r="33">
          <cell r="I33">
            <v>0</v>
          </cell>
        </row>
        <row r="34">
          <cell r="I34">
            <v>0</v>
          </cell>
        </row>
        <row r="36">
          <cell r="I36">
            <v>0</v>
          </cell>
        </row>
        <row r="37">
          <cell r="I37">
            <v>0</v>
          </cell>
        </row>
        <row r="38">
          <cell r="I38">
            <v>0</v>
          </cell>
        </row>
        <row r="39">
          <cell r="I39">
            <v>0</v>
          </cell>
        </row>
      </sheetData>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aw Data"/>
      <sheetName val="Condenser Fan Savings"/>
      <sheetName val="Conversion"/>
      <sheetName val="TR Data"/>
      <sheetName val="BHP Data"/>
      <sheetName val="Graphs and Coefficient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stMeas"/>
      <sheetName val="Proposed Lighting Retrofit"/>
      <sheetName val="COTR"/>
      <sheetName val="Application"/>
      <sheetName val="As-Built Lighting"/>
      <sheetName val="Data Existing"/>
      <sheetName val="Proposed Controls"/>
      <sheetName val="Data Proposed"/>
      <sheetName val="ProjectBC"/>
      <sheetName val="LSYield"/>
      <sheetName val="ShapePV"/>
      <sheetName val="BugList"/>
      <sheetName val="LSYield2"/>
      <sheetName val="CEE Lamps"/>
      <sheetName val="CEE Ballasts"/>
      <sheetName val="uploaddata"/>
    </sheetNames>
    <sheetDataSet>
      <sheetData sheetId="0"/>
      <sheetData sheetId="1"/>
      <sheetData sheetId="2"/>
      <sheetData sheetId="3"/>
      <sheetData sheetId="4"/>
      <sheetData sheetId="5">
        <row r="3">
          <cell r="B3" t="str">
            <v xml:space="preserve"> Description of Existing Lamp/Ballast Combination  </v>
          </cell>
          <cell r="C3" t="str">
            <v>Input Watts</v>
          </cell>
          <cell r="D3" t="str">
            <v>Mean System Lumens</v>
          </cell>
          <cell r="E3" t="str">
            <v xml:space="preserve">        Suggested Upgrades / Notes</v>
          </cell>
          <cell r="F3" t="str">
            <v>Rated Average Lamp Life (hours/lamp for RS ballast @ 12 hours/start)</v>
          </cell>
          <cell r="G3" t="str">
            <v>Lamp Cost ($/lamp)</v>
          </cell>
          <cell r="H3" t="str">
            <v>Lamp Change Labor (hours/lamp)</v>
          </cell>
        </row>
        <row r="5">
          <cell r="B5" t="str">
            <v>Describe existing lamp/ballast combination here</v>
          </cell>
          <cell r="E5" t="str">
            <v xml:space="preserve">&lt;&lt;Input a wattage and mean system lumens </v>
          </cell>
        </row>
        <row r="6">
          <cell r="B6" t="str">
            <v>=================================</v>
          </cell>
        </row>
        <row r="7">
          <cell r="B7" t="str">
            <v>EXIT SIGNS</v>
          </cell>
        </row>
        <row r="8">
          <cell r="B8" t="str">
            <v>=================================</v>
          </cell>
        </row>
        <row r="9">
          <cell r="B9" t="str">
            <v>Incandescent Exit Sign, 2-5 Watt Lamps</v>
          </cell>
          <cell r="C9">
            <v>10</v>
          </cell>
          <cell r="D9">
            <v>2</v>
          </cell>
          <cell r="E9" t="str">
            <v xml:space="preserve">New LED Exit Sign </v>
          </cell>
          <cell r="F9">
            <v>10000</v>
          </cell>
          <cell r="G9">
            <v>2.31</v>
          </cell>
          <cell r="H9">
            <v>0.1</v>
          </cell>
        </row>
        <row r="10">
          <cell r="B10" t="str">
            <v>Incandescent Exit Sign, 2-8 Watt Lamps</v>
          </cell>
          <cell r="C10">
            <v>16</v>
          </cell>
          <cell r="D10">
            <v>2</v>
          </cell>
          <cell r="E10" t="str">
            <v xml:space="preserve">New LED Exit Sign </v>
          </cell>
          <cell r="F10">
            <v>10000</v>
          </cell>
          <cell r="G10">
            <v>2.31</v>
          </cell>
          <cell r="H10">
            <v>0.1</v>
          </cell>
        </row>
        <row r="11">
          <cell r="B11" t="str">
            <v>Incandescent Exit Sign, 2-10 Watt Lamps</v>
          </cell>
          <cell r="C11">
            <v>20</v>
          </cell>
          <cell r="D11">
            <v>2</v>
          </cell>
          <cell r="E11" t="str">
            <v xml:space="preserve">New LED Exit Sign </v>
          </cell>
          <cell r="F11">
            <v>10000</v>
          </cell>
          <cell r="G11">
            <v>2.31</v>
          </cell>
          <cell r="H11">
            <v>0.1</v>
          </cell>
        </row>
        <row r="12">
          <cell r="B12" t="str">
            <v>Incandescent Exit Sign, 2-15 Watt Lamps</v>
          </cell>
          <cell r="C12">
            <v>30</v>
          </cell>
          <cell r="D12">
            <v>2</v>
          </cell>
          <cell r="E12" t="str">
            <v xml:space="preserve">New LED Exit Sign </v>
          </cell>
          <cell r="F12">
            <v>10000</v>
          </cell>
          <cell r="G12">
            <v>2.31</v>
          </cell>
          <cell r="H12">
            <v>0.1</v>
          </cell>
        </row>
        <row r="13">
          <cell r="B13" t="str">
            <v>Incandescent Exit Sign, 2-20 Watt Lamps</v>
          </cell>
          <cell r="C13">
            <v>40</v>
          </cell>
          <cell r="D13">
            <v>2</v>
          </cell>
          <cell r="E13" t="str">
            <v xml:space="preserve">New LED Exit Sign </v>
          </cell>
          <cell r="F13">
            <v>10000</v>
          </cell>
          <cell r="G13">
            <v>2.31</v>
          </cell>
          <cell r="H13">
            <v>0.1</v>
          </cell>
        </row>
        <row r="14">
          <cell r="B14" t="str">
            <v>Incandescent Exit Sign, 2-25 Watt Lamps</v>
          </cell>
          <cell r="C14">
            <v>50</v>
          </cell>
          <cell r="D14">
            <v>2</v>
          </cell>
          <cell r="E14" t="str">
            <v xml:space="preserve">New LED Exit Sign </v>
          </cell>
          <cell r="F14">
            <v>10000</v>
          </cell>
          <cell r="G14">
            <v>2.31</v>
          </cell>
          <cell r="H14">
            <v>0.1</v>
          </cell>
        </row>
        <row r="15">
          <cell r="B15" t="str">
            <v>Incandescent Exit Sign, 2-40 Watt Lamps</v>
          </cell>
          <cell r="C15">
            <v>80</v>
          </cell>
          <cell r="D15">
            <v>2</v>
          </cell>
          <cell r="E15" t="str">
            <v xml:space="preserve">New LED Exit Sign </v>
          </cell>
          <cell r="F15">
            <v>10000</v>
          </cell>
          <cell r="G15">
            <v>2.31</v>
          </cell>
          <cell r="H15">
            <v>0.1</v>
          </cell>
        </row>
        <row r="16">
          <cell r="B16" t="str">
            <v>=================================</v>
          </cell>
        </row>
        <row r="17">
          <cell r="B17" t="str">
            <v>T8 DE-LAMP</v>
          </cell>
        </row>
        <row r="18">
          <cell r="B18" t="str">
            <v>=================================</v>
          </cell>
        </row>
        <row r="19">
          <cell r="B19" t="str">
            <v>Standard 4' T8 2 lamp 32 Watt</v>
          </cell>
          <cell r="C19">
            <v>60</v>
          </cell>
          <cell r="D19">
            <v>4932.3999999999996</v>
          </cell>
        </row>
        <row r="20">
          <cell r="B20" t="str">
            <v xml:space="preserve">Standard 4' T8 3 lamp 32 Watt </v>
          </cell>
          <cell r="C20">
            <v>90</v>
          </cell>
          <cell r="D20">
            <v>6969.375</v>
          </cell>
        </row>
        <row r="21">
          <cell r="B21" t="str">
            <v xml:space="preserve">Standard 4' T8 4 lamp 32 Watt </v>
          </cell>
          <cell r="C21">
            <v>114</v>
          </cell>
          <cell r="D21">
            <v>9292.5</v>
          </cell>
        </row>
        <row r="22">
          <cell r="B22" t="str">
            <v>Standard 4' T8 6 lamp 32 Watt</v>
          </cell>
          <cell r="C22">
            <v>162</v>
          </cell>
          <cell r="D22">
            <v>15372.9</v>
          </cell>
        </row>
        <row r="23">
          <cell r="B23" t="str">
            <v>=================================</v>
          </cell>
        </row>
        <row r="24">
          <cell r="B24" t="str">
            <v>T12 FLUORESCENT (LAMPS UNDER 8')</v>
          </cell>
        </row>
        <row r="25">
          <cell r="B25" t="str">
            <v>=================================</v>
          </cell>
        </row>
        <row r="26">
          <cell r="B26" t="str">
            <v>T12 2' Fluorescent, 1-20 Watt Lamp, Magnetic Ballast</v>
          </cell>
          <cell r="C26">
            <v>24</v>
          </cell>
          <cell r="D26">
            <v>960</v>
          </cell>
          <cell r="E26" t="str">
            <v>T8 High Performance</v>
          </cell>
          <cell r="F26">
            <v>7500</v>
          </cell>
          <cell r="G26">
            <v>2.17</v>
          </cell>
          <cell r="H26">
            <v>0.09</v>
          </cell>
        </row>
        <row r="27">
          <cell r="B27" t="str">
            <v>T12 3' Fluorescent, 1-30 Watt Lamp, Magnetic Ballast</v>
          </cell>
          <cell r="C27">
            <v>36</v>
          </cell>
          <cell r="D27">
            <v>1630</v>
          </cell>
          <cell r="E27" t="str">
            <v>T8 High Performance</v>
          </cell>
          <cell r="F27">
            <v>18000</v>
          </cell>
          <cell r="G27">
            <v>3.29</v>
          </cell>
          <cell r="H27">
            <v>0.09</v>
          </cell>
        </row>
        <row r="28">
          <cell r="B28" t="str">
            <v>T12 2'x2' Fluorescent, 1-40 Watt U-Tube Lamp, Magnetic Ballast</v>
          </cell>
          <cell r="C28">
            <v>48</v>
          </cell>
          <cell r="D28">
            <v>2775</v>
          </cell>
          <cell r="E28" t="str">
            <v>T8 High Performance</v>
          </cell>
          <cell r="F28">
            <v>20000</v>
          </cell>
          <cell r="G28">
            <v>4.8</v>
          </cell>
          <cell r="H28">
            <v>0.09</v>
          </cell>
        </row>
        <row r="29">
          <cell r="B29" t="str">
            <v>T12 2'x2' Fluorescent, 2-40 Watt U-Tube Lamps, Magnetic Ballast</v>
          </cell>
          <cell r="C29">
            <v>86</v>
          </cell>
          <cell r="D29">
            <v>5550</v>
          </cell>
          <cell r="E29" t="str">
            <v>T8 High Performance</v>
          </cell>
          <cell r="F29">
            <v>20000</v>
          </cell>
          <cell r="G29">
            <v>4.8</v>
          </cell>
          <cell r="H29">
            <v>0.09</v>
          </cell>
        </row>
        <row r="30">
          <cell r="B30" t="str">
            <v>T12 4' Fluorescent, 1-56 Watt HO Lamp, Magnetic Ballast</v>
          </cell>
          <cell r="C30">
            <v>66</v>
          </cell>
          <cell r="D30">
            <v>4000</v>
          </cell>
          <cell r="E30" t="str">
            <v>T8 High Performance</v>
          </cell>
          <cell r="F30">
            <v>12000</v>
          </cell>
          <cell r="G30">
            <v>4.28</v>
          </cell>
          <cell r="H30">
            <v>0.09</v>
          </cell>
        </row>
        <row r="31">
          <cell r="B31" t="str">
            <v>T12 4' Fluorescent, 2-56 Watt HO Lamps, Magnetic Ballast</v>
          </cell>
          <cell r="C31">
            <v>132</v>
          </cell>
          <cell r="D31">
            <v>8000</v>
          </cell>
          <cell r="E31" t="str">
            <v>T8 High Performance</v>
          </cell>
          <cell r="F31">
            <v>12000</v>
          </cell>
          <cell r="G31">
            <v>4.28</v>
          </cell>
          <cell r="H31">
            <v>0.09</v>
          </cell>
        </row>
        <row r="32">
          <cell r="B32" t="str">
            <v>T12 4' Fluorescent, 3-56 Watt HO Lamps, Magnetic Ballast</v>
          </cell>
          <cell r="C32">
            <v>198</v>
          </cell>
          <cell r="D32">
            <v>12000</v>
          </cell>
          <cell r="E32" t="str">
            <v>T8 High Performance</v>
          </cell>
          <cell r="F32">
            <v>12000</v>
          </cell>
          <cell r="G32">
            <v>4.28</v>
          </cell>
          <cell r="H32">
            <v>0.09</v>
          </cell>
        </row>
        <row r="33">
          <cell r="B33" t="str">
            <v>----------------------------</v>
          </cell>
        </row>
        <row r="34">
          <cell r="B34" t="str">
            <v>T12 4' Fluorescent, 1-34 Watt ES Lamp, Energy Efficient Ballast</v>
          </cell>
          <cell r="C34">
            <v>43</v>
          </cell>
          <cell r="D34">
            <v>1890.51</v>
          </cell>
          <cell r="E34" t="str">
            <v>T8 High Performance</v>
          </cell>
          <cell r="F34">
            <v>20000</v>
          </cell>
          <cell r="G34">
            <v>1.1200000000000001</v>
          </cell>
          <cell r="H34">
            <v>0.09</v>
          </cell>
        </row>
        <row r="35">
          <cell r="B35" t="str">
            <v>T12 4' Fluorescent, 1-40 Watt Lamp, Energy Efficient Ballast</v>
          </cell>
          <cell r="C35">
            <v>46</v>
          </cell>
          <cell r="D35">
            <v>2433.9</v>
          </cell>
          <cell r="E35" t="str">
            <v>T8 High Performance</v>
          </cell>
          <cell r="F35">
            <v>20000</v>
          </cell>
          <cell r="G35">
            <v>1.1200000000000001</v>
          </cell>
          <cell r="H35">
            <v>0.09</v>
          </cell>
        </row>
        <row r="36">
          <cell r="B36" t="str">
            <v>T12 4' Fluorescent, 1-34 Watt ES Lamp, Magnetic Ballast</v>
          </cell>
          <cell r="C36">
            <v>48</v>
          </cell>
          <cell r="D36">
            <v>1933.97</v>
          </cell>
          <cell r="E36" t="str">
            <v>T8 High Performance</v>
          </cell>
          <cell r="F36">
            <v>20000</v>
          </cell>
          <cell r="G36">
            <v>1.1200000000000001</v>
          </cell>
          <cell r="H36">
            <v>0.09</v>
          </cell>
        </row>
        <row r="37">
          <cell r="B37" t="str">
            <v>T12 4' Fluorescent, 1-40 Watt Lamp, Magnetic Ballast</v>
          </cell>
          <cell r="C37">
            <v>52</v>
          </cell>
          <cell r="D37">
            <v>2433.9</v>
          </cell>
          <cell r="E37" t="str">
            <v>T8 High Performance</v>
          </cell>
          <cell r="F37">
            <v>20000</v>
          </cell>
          <cell r="G37">
            <v>1.1200000000000001</v>
          </cell>
          <cell r="H37">
            <v>0.09</v>
          </cell>
        </row>
        <row r="38">
          <cell r="B38" t="str">
            <v>----------------------------</v>
          </cell>
        </row>
        <row r="39">
          <cell r="B39" t="str">
            <v>T12 4' Fluorescent, 2-34 Watt ES Lamps, Energy Efficient Ballast</v>
          </cell>
          <cell r="C39">
            <v>72</v>
          </cell>
          <cell r="D39">
            <v>3781.02</v>
          </cell>
          <cell r="E39" t="str">
            <v>T8 High Performance</v>
          </cell>
          <cell r="F39">
            <v>20000</v>
          </cell>
          <cell r="G39">
            <v>1.1200000000000001</v>
          </cell>
          <cell r="H39">
            <v>0.09</v>
          </cell>
        </row>
        <row r="40">
          <cell r="B40" t="str">
            <v>T12 4' Fluorescent, 2-34 Watt ES Lamps, Magnetic Ballast</v>
          </cell>
          <cell r="C40">
            <v>82</v>
          </cell>
          <cell r="D40">
            <v>3867.94</v>
          </cell>
          <cell r="E40" t="str">
            <v>T8 High Performance</v>
          </cell>
          <cell r="F40">
            <v>20000</v>
          </cell>
          <cell r="G40">
            <v>1.1200000000000001</v>
          </cell>
          <cell r="H40">
            <v>0.09</v>
          </cell>
        </row>
        <row r="41">
          <cell r="B41" t="str">
            <v>T12 4' Fluorescent, 2-40 Watt Lamps, Energy Efficient Ballast</v>
          </cell>
          <cell r="C41">
            <v>88</v>
          </cell>
          <cell r="D41">
            <v>4867.8</v>
          </cell>
          <cell r="E41" t="str">
            <v>T8 High Performance</v>
          </cell>
          <cell r="F41">
            <v>20000</v>
          </cell>
          <cell r="G41">
            <v>1.1200000000000001</v>
          </cell>
          <cell r="H41">
            <v>0.09</v>
          </cell>
        </row>
        <row r="42">
          <cell r="B42" t="str">
            <v>T12 4' Fluorescent, 2-40 Watt Lamps, Magnetic Ballast</v>
          </cell>
          <cell r="C42">
            <v>96</v>
          </cell>
          <cell r="D42">
            <v>4867.8</v>
          </cell>
          <cell r="E42" t="str">
            <v>T8 High Performance</v>
          </cell>
          <cell r="F42">
            <v>20000</v>
          </cell>
          <cell r="G42">
            <v>1.1200000000000001</v>
          </cell>
          <cell r="H42">
            <v>0.09</v>
          </cell>
        </row>
        <row r="43">
          <cell r="B43" t="str">
            <v>----------------------------</v>
          </cell>
        </row>
        <row r="44">
          <cell r="B44" t="str">
            <v>T12 4' Fluorescent, 3-34 Watt ES Lamps, Energy Efficient Ballasts</v>
          </cell>
          <cell r="C44">
            <v>116</v>
          </cell>
          <cell r="D44">
            <v>5671.53</v>
          </cell>
          <cell r="E44" t="str">
            <v>T8 High Performance</v>
          </cell>
          <cell r="F44">
            <v>20000</v>
          </cell>
          <cell r="G44">
            <v>1.1200000000000001</v>
          </cell>
          <cell r="H44">
            <v>0.09</v>
          </cell>
        </row>
        <row r="45">
          <cell r="B45" t="str">
            <v>T12 4' Fluorescent, 3-34 Watt ES Lamps, Magnetic Ballasts</v>
          </cell>
          <cell r="C45">
            <v>130</v>
          </cell>
          <cell r="D45">
            <v>5801.91</v>
          </cell>
          <cell r="E45" t="str">
            <v>T8 High Performance</v>
          </cell>
          <cell r="F45">
            <v>20000</v>
          </cell>
          <cell r="G45">
            <v>1.1200000000000001</v>
          </cell>
          <cell r="H45">
            <v>0.09</v>
          </cell>
        </row>
        <row r="46">
          <cell r="B46" t="str">
            <v>T12 4' Fluorescent, 3-40 Watt Lamps, Energy Efficient Ballasts</v>
          </cell>
          <cell r="C46">
            <v>134</v>
          </cell>
          <cell r="D46">
            <v>7301.7</v>
          </cell>
          <cell r="E46" t="str">
            <v>T8 High Performance</v>
          </cell>
          <cell r="F46">
            <v>20000</v>
          </cell>
          <cell r="G46">
            <v>1.1200000000000001</v>
          </cell>
          <cell r="H46">
            <v>0.09</v>
          </cell>
        </row>
        <row r="47">
          <cell r="B47" t="str">
            <v>T12 4' Fluorescent, 3-40 Watt Lamps, Magnetic Ballasts</v>
          </cell>
          <cell r="C47">
            <v>148</v>
          </cell>
          <cell r="D47">
            <v>7301.7</v>
          </cell>
          <cell r="E47" t="str">
            <v>T8 High Performance</v>
          </cell>
          <cell r="F47">
            <v>20000</v>
          </cell>
          <cell r="G47">
            <v>1.1200000000000001</v>
          </cell>
          <cell r="H47">
            <v>0.09</v>
          </cell>
        </row>
        <row r="48">
          <cell r="B48" t="str">
            <v>----------------------------</v>
          </cell>
        </row>
        <row r="49">
          <cell r="B49" t="str">
            <v>T12 4' Fluorescent, 4-34 Watt ES Lamps, Energy Efficient Ballasts</v>
          </cell>
          <cell r="C49">
            <v>144</v>
          </cell>
          <cell r="D49">
            <v>7562.04</v>
          </cell>
          <cell r="E49" t="str">
            <v>T8 High Performance</v>
          </cell>
          <cell r="F49">
            <v>20000</v>
          </cell>
          <cell r="G49">
            <v>1.1200000000000001</v>
          </cell>
          <cell r="H49">
            <v>0.09</v>
          </cell>
        </row>
        <row r="50">
          <cell r="B50" t="str">
            <v>T12 4' Fluorescent, 4-34 Watt ES Lamps, Magnetic Ballasts</v>
          </cell>
          <cell r="C50">
            <v>164</v>
          </cell>
          <cell r="D50">
            <v>7735.88</v>
          </cell>
          <cell r="E50" t="str">
            <v>T8 High Performance</v>
          </cell>
          <cell r="F50">
            <v>20000</v>
          </cell>
          <cell r="G50">
            <v>1.1200000000000001</v>
          </cell>
          <cell r="H50">
            <v>0.09</v>
          </cell>
        </row>
        <row r="51">
          <cell r="B51" t="str">
            <v>T12 4' Fluorescent, 4-40 Watt Lamps, Energy Efficient Ballasts</v>
          </cell>
          <cell r="C51">
            <v>176</v>
          </cell>
          <cell r="D51">
            <v>9735.6</v>
          </cell>
          <cell r="E51" t="str">
            <v>T8 High Performance</v>
          </cell>
          <cell r="F51">
            <v>20000</v>
          </cell>
          <cell r="G51">
            <v>1.1200000000000001</v>
          </cell>
          <cell r="H51">
            <v>0.09</v>
          </cell>
        </row>
        <row r="52">
          <cell r="B52" t="str">
            <v>T12 4' Fluorescent, 4-40 Watt Lamps, Magnetic Ballasts</v>
          </cell>
          <cell r="C52">
            <v>192</v>
          </cell>
          <cell r="D52">
            <v>9735.6</v>
          </cell>
          <cell r="E52" t="str">
            <v>T8 High Performance</v>
          </cell>
          <cell r="F52">
            <v>20000</v>
          </cell>
          <cell r="G52">
            <v>1.1200000000000001</v>
          </cell>
          <cell r="H52">
            <v>0.09</v>
          </cell>
        </row>
        <row r="53">
          <cell r="B53" t="str">
            <v>=================================</v>
          </cell>
        </row>
        <row r="54">
          <cell r="B54" t="str">
            <v>T12 FLUORESCENT (8' LAMPS)</v>
          </cell>
        </row>
        <row r="55">
          <cell r="B55" t="str">
            <v>=================================</v>
          </cell>
        </row>
        <row r="56">
          <cell r="B56" t="str">
            <v>T12 8' Fluorescent, 1-60 Watt Lamp, Magnetic Ballast</v>
          </cell>
          <cell r="C56">
            <v>83</v>
          </cell>
          <cell r="D56">
            <v>4258.6499999999996</v>
          </cell>
          <cell r="E56" t="str">
            <v>T8 High Performance</v>
          </cell>
          <cell r="F56">
            <v>12000</v>
          </cell>
          <cell r="G56">
            <v>6</v>
          </cell>
          <cell r="H56">
            <v>0.09</v>
          </cell>
        </row>
        <row r="57">
          <cell r="B57" t="str">
            <v>T12 8' Fluorescent, 1-75 Watt Lamp, Magnetic Ballast</v>
          </cell>
          <cell r="C57">
            <v>100</v>
          </cell>
          <cell r="D57">
            <v>5145.09</v>
          </cell>
          <cell r="E57" t="str">
            <v>T8 High Performance</v>
          </cell>
          <cell r="F57">
            <v>12000</v>
          </cell>
          <cell r="G57">
            <v>7.02</v>
          </cell>
          <cell r="H57">
            <v>0.09</v>
          </cell>
        </row>
        <row r="58">
          <cell r="B58" t="str">
            <v>T12 8' Fluorescent, 1-95 Watt HO ES Lamp, Magnetic Ballast</v>
          </cell>
          <cell r="C58">
            <v>125</v>
          </cell>
          <cell r="D58">
            <v>5728.8</v>
          </cell>
          <cell r="E58" t="str">
            <v>T8 High Performance</v>
          </cell>
          <cell r="F58">
            <v>12000</v>
          </cell>
          <cell r="G58">
            <v>7.63</v>
          </cell>
          <cell r="H58">
            <v>0.09</v>
          </cell>
        </row>
        <row r="59">
          <cell r="B59" t="str">
            <v>T12 8' Fluorescent, 1-100W HO Lamp, Magnetic Ballast</v>
          </cell>
          <cell r="C59">
            <v>140</v>
          </cell>
          <cell r="D59">
            <v>6715.94</v>
          </cell>
          <cell r="E59" t="str">
            <v>T8 High Performance</v>
          </cell>
          <cell r="F59">
            <v>12000</v>
          </cell>
          <cell r="G59">
            <v>7.02</v>
          </cell>
          <cell r="H59">
            <v>0.09</v>
          </cell>
        </row>
        <row r="60">
          <cell r="B60" t="str">
            <v>T12 8' Fluorescent, 1-185 Watt VHO ES Lamp, Magnetic Ballast</v>
          </cell>
          <cell r="C60">
            <v>200</v>
          </cell>
          <cell r="D60">
            <v>8370</v>
          </cell>
          <cell r="E60" t="str">
            <v>T8 High Performance</v>
          </cell>
          <cell r="F60">
            <v>12000</v>
          </cell>
          <cell r="G60">
            <v>12.58</v>
          </cell>
          <cell r="H60">
            <v>0.09</v>
          </cell>
        </row>
        <row r="61">
          <cell r="B61" t="str">
            <v>T12 8' Fluorescent, 1-215 Watt VHO Lamp, Magnetic Ballast</v>
          </cell>
          <cell r="C61">
            <v>230</v>
          </cell>
          <cell r="D61">
            <v>9525.6</v>
          </cell>
          <cell r="E61" t="str">
            <v>T8 High Performance</v>
          </cell>
          <cell r="F61">
            <v>12000</v>
          </cell>
          <cell r="G61">
            <v>11.58</v>
          </cell>
          <cell r="H61">
            <v>0.09</v>
          </cell>
        </row>
        <row r="62">
          <cell r="B62" t="str">
            <v>----------------------------</v>
          </cell>
        </row>
        <row r="63">
          <cell r="B63" t="str">
            <v>T12 8' Fluorescent, 2-60 Watt ES Lamps, Energy Efficient Ballast</v>
          </cell>
          <cell r="C63">
            <v>123</v>
          </cell>
          <cell r="D63">
            <v>8321.5</v>
          </cell>
          <cell r="E63" t="str">
            <v>T8 High Performance</v>
          </cell>
          <cell r="F63">
            <v>12000</v>
          </cell>
          <cell r="G63">
            <v>6</v>
          </cell>
          <cell r="H63">
            <v>0.09</v>
          </cell>
        </row>
        <row r="64">
          <cell r="B64" t="str">
            <v>T12 8' Fluorescent, 2-60 Watt ES Lamps, Magnetic Ballast</v>
          </cell>
          <cell r="C64">
            <v>138</v>
          </cell>
          <cell r="D64">
            <v>8517.2999999999993</v>
          </cell>
          <cell r="E64" t="str">
            <v>T8 High Performance</v>
          </cell>
          <cell r="F64">
            <v>12000</v>
          </cell>
          <cell r="G64">
            <v>6</v>
          </cell>
          <cell r="H64">
            <v>0.09</v>
          </cell>
        </row>
        <row r="65">
          <cell r="B65" t="str">
            <v>T12 8' Fluorescent, 2-75 Watt Lamps, Energy Efficient Ballast</v>
          </cell>
          <cell r="C65">
            <v>158</v>
          </cell>
          <cell r="D65">
            <v>10180.709999999999</v>
          </cell>
          <cell r="E65" t="str">
            <v>T8 High Performance</v>
          </cell>
          <cell r="F65">
            <v>12000</v>
          </cell>
          <cell r="G65">
            <v>7.02</v>
          </cell>
          <cell r="H65">
            <v>0.09</v>
          </cell>
        </row>
        <row r="66">
          <cell r="B66" t="str">
            <v>T12 8' Fluorescent, 2-75 Watt Lamps, Magnetic Ballast</v>
          </cell>
          <cell r="C66">
            <v>173</v>
          </cell>
          <cell r="D66">
            <v>10290.18</v>
          </cell>
          <cell r="E66" t="str">
            <v>T8 High Performance</v>
          </cell>
          <cell r="F66">
            <v>12000</v>
          </cell>
          <cell r="G66">
            <v>7.02</v>
          </cell>
          <cell r="H66">
            <v>0.09</v>
          </cell>
        </row>
        <row r="67">
          <cell r="B67" t="str">
            <v>T12 8' Fluorescent, 2-95 Watt HO ES Lamps, Magnetic Ballast</v>
          </cell>
          <cell r="C67">
            <v>227</v>
          </cell>
          <cell r="D67">
            <v>11457.6</v>
          </cell>
          <cell r="E67" t="str">
            <v>T8 High Performance</v>
          </cell>
          <cell r="F67">
            <v>12000</v>
          </cell>
          <cell r="G67">
            <v>7.63</v>
          </cell>
          <cell r="H67">
            <v>0.09</v>
          </cell>
        </row>
        <row r="68">
          <cell r="B68" t="str">
            <v>T12 8' Fluorescent, 2-110 Watt HO Lamps, Energy Efficient Ballast</v>
          </cell>
          <cell r="C68">
            <v>237</v>
          </cell>
          <cell r="D68">
            <v>13431.88</v>
          </cell>
          <cell r="E68" t="str">
            <v>T8 High Performance</v>
          </cell>
          <cell r="F68">
            <v>12000</v>
          </cell>
          <cell r="G68">
            <v>7.02</v>
          </cell>
          <cell r="H68">
            <v>0.09</v>
          </cell>
        </row>
        <row r="69">
          <cell r="B69" t="str">
            <v>T12 8' Fluorescent, 2-110 Watt HO Lamps, Magnetic Ballast</v>
          </cell>
          <cell r="C69">
            <v>252</v>
          </cell>
          <cell r="D69">
            <v>13431.88</v>
          </cell>
          <cell r="E69" t="str">
            <v>T8 High Performance</v>
          </cell>
          <cell r="F69">
            <v>12000</v>
          </cell>
          <cell r="G69">
            <v>7.02</v>
          </cell>
          <cell r="H69">
            <v>0.09</v>
          </cell>
        </row>
        <row r="70">
          <cell r="B70" t="str">
            <v>T12 8' Fluorescent, 2-185 Watt VHO ES Lamps, Magnetic Ballast</v>
          </cell>
          <cell r="C70">
            <v>325</v>
          </cell>
          <cell r="D70">
            <v>16740</v>
          </cell>
          <cell r="E70" t="str">
            <v>T8 High Performance</v>
          </cell>
          <cell r="F70">
            <v>12000</v>
          </cell>
          <cell r="G70">
            <v>12.58</v>
          </cell>
          <cell r="H70">
            <v>0.09</v>
          </cell>
        </row>
        <row r="71">
          <cell r="B71" t="str">
            <v>T12 8' Fluorescent, 2-215 Watt VHO Lamps, Magnetic Ballast</v>
          </cell>
          <cell r="C71">
            <v>440</v>
          </cell>
          <cell r="D71">
            <v>19051.2</v>
          </cell>
          <cell r="E71" t="str">
            <v>T8 High Performance</v>
          </cell>
          <cell r="F71">
            <v>12000</v>
          </cell>
          <cell r="G71">
            <v>11.58</v>
          </cell>
          <cell r="H71">
            <v>0.09</v>
          </cell>
        </row>
        <row r="72">
          <cell r="B72" t="str">
            <v>----------------------------</v>
          </cell>
        </row>
        <row r="73">
          <cell r="B73" t="str">
            <v>T12 8' Fluorescent, 3-60 Watt ES Lamps, Magnetic Ballasts</v>
          </cell>
          <cell r="C73">
            <v>220</v>
          </cell>
          <cell r="D73">
            <v>12775.95</v>
          </cell>
          <cell r="E73" t="str">
            <v>T8 High Performance</v>
          </cell>
          <cell r="F73">
            <v>12000</v>
          </cell>
          <cell r="G73">
            <v>6</v>
          </cell>
          <cell r="H73">
            <v>0.09</v>
          </cell>
        </row>
        <row r="74">
          <cell r="B74" t="str">
            <v>T12 8' Fluorescent, 3-75 Watt Lamps, Magnetic Ballasts</v>
          </cell>
          <cell r="C74">
            <v>274</v>
          </cell>
          <cell r="D74">
            <v>15435.27</v>
          </cell>
          <cell r="E74" t="str">
            <v>T8 High Performance</v>
          </cell>
          <cell r="F74">
            <v>12000</v>
          </cell>
          <cell r="G74">
            <v>7.02</v>
          </cell>
          <cell r="H74">
            <v>0.09</v>
          </cell>
        </row>
        <row r="75">
          <cell r="B75" t="str">
            <v>T12 8' Fluorescent, 3-95 Watt HO ES Lamps, Magnetic Ballasts</v>
          </cell>
          <cell r="C75">
            <v>352</v>
          </cell>
          <cell r="D75">
            <v>17186.400000000001</v>
          </cell>
          <cell r="E75" t="str">
            <v>T8 High Performance</v>
          </cell>
          <cell r="F75">
            <v>12000</v>
          </cell>
          <cell r="G75">
            <v>7.63</v>
          </cell>
          <cell r="H75">
            <v>0.09</v>
          </cell>
        </row>
        <row r="76">
          <cell r="B76" t="str">
            <v>T12 8' Fluorescent, 3-110 Watt HO Lamps, Energy Efficient Ballasts</v>
          </cell>
          <cell r="C76">
            <v>392</v>
          </cell>
          <cell r="D76">
            <v>20147.82</v>
          </cell>
          <cell r="E76" t="str">
            <v>T8 High Performance</v>
          </cell>
          <cell r="F76">
            <v>12000</v>
          </cell>
          <cell r="G76">
            <v>7.02</v>
          </cell>
          <cell r="H76">
            <v>0.09</v>
          </cell>
        </row>
        <row r="77">
          <cell r="B77" t="str">
            <v>----------------------------</v>
          </cell>
        </row>
        <row r="78">
          <cell r="B78" t="str">
            <v>T12 8' Fluorescent, 4-60 Watt ES Lamps, Energy Efficient Ballast</v>
          </cell>
          <cell r="C78">
            <v>246</v>
          </cell>
          <cell r="D78">
            <v>16643</v>
          </cell>
          <cell r="E78" t="str">
            <v>T8 High Performance</v>
          </cell>
          <cell r="F78">
            <v>12000</v>
          </cell>
          <cell r="G78">
            <v>6</v>
          </cell>
          <cell r="H78">
            <v>0.09</v>
          </cell>
        </row>
        <row r="79">
          <cell r="B79" t="str">
            <v>T12 8' Fluorescent, 4-60 Watt ES Lamps, Magnetic Ballast</v>
          </cell>
          <cell r="C79">
            <v>276</v>
          </cell>
          <cell r="D79">
            <v>17034.599999999999</v>
          </cell>
          <cell r="E79" t="str">
            <v>T8 High Performance</v>
          </cell>
          <cell r="F79">
            <v>12000</v>
          </cell>
          <cell r="G79">
            <v>6</v>
          </cell>
          <cell r="H79">
            <v>0.09</v>
          </cell>
        </row>
        <row r="80">
          <cell r="B80" t="str">
            <v>T12 8' Fluorescent, 4-75 Watt Lamps, Energy Efficient Ballasts</v>
          </cell>
          <cell r="C80">
            <v>316</v>
          </cell>
          <cell r="D80">
            <v>20361.419999999998</v>
          </cell>
          <cell r="E80" t="str">
            <v>T8 High Performance</v>
          </cell>
          <cell r="F80">
            <v>12000</v>
          </cell>
          <cell r="G80">
            <v>7.02</v>
          </cell>
          <cell r="H80">
            <v>0.09</v>
          </cell>
        </row>
        <row r="81">
          <cell r="B81" t="str">
            <v>T12 8' Fluorescent, 4-75 Watt Lamps, Magnetic Ballasts</v>
          </cell>
          <cell r="C81">
            <v>346</v>
          </cell>
          <cell r="D81">
            <v>20580.36</v>
          </cell>
          <cell r="E81" t="str">
            <v>T8 High Performance</v>
          </cell>
          <cell r="F81">
            <v>12000</v>
          </cell>
          <cell r="G81">
            <v>7.02</v>
          </cell>
          <cell r="H81">
            <v>0.09</v>
          </cell>
        </row>
        <row r="82">
          <cell r="B82" t="str">
            <v>T12 8' Fluorescent, 4-95 Watt HO ES Lamps, Energy Efficient Ballasts</v>
          </cell>
          <cell r="C82">
            <v>416</v>
          </cell>
          <cell r="D82">
            <v>22915.200000000001</v>
          </cell>
          <cell r="E82" t="str">
            <v>T8 High Performance</v>
          </cell>
          <cell r="F82">
            <v>12000</v>
          </cell>
          <cell r="G82">
            <v>7.63</v>
          </cell>
          <cell r="H82">
            <v>0.09</v>
          </cell>
        </row>
        <row r="83">
          <cell r="B83" t="str">
            <v>T12 8' Fluorescent, 4-95 Watt HO ES Lamps, Magnetic Ballasts</v>
          </cell>
          <cell r="C83">
            <v>454</v>
          </cell>
          <cell r="D83">
            <v>22915.200000000001</v>
          </cell>
          <cell r="E83" t="str">
            <v>T8 High Performance</v>
          </cell>
          <cell r="F83">
            <v>12000</v>
          </cell>
          <cell r="G83">
            <v>7.02</v>
          </cell>
          <cell r="H83">
            <v>0.09</v>
          </cell>
        </row>
        <row r="84">
          <cell r="B84" t="str">
            <v>T12 8' Fluorescent, 4-110 Watt HO Lamps, Energy Efficient Ballasts</v>
          </cell>
          <cell r="C84">
            <v>474</v>
          </cell>
          <cell r="D84">
            <v>26863.759999999998</v>
          </cell>
          <cell r="E84" t="str">
            <v>T8 High Performance</v>
          </cell>
          <cell r="F84">
            <v>12000</v>
          </cell>
          <cell r="G84">
            <v>7.02</v>
          </cell>
          <cell r="H84">
            <v>0.09</v>
          </cell>
        </row>
        <row r="85">
          <cell r="B85" t="str">
            <v>T12 8' Fluorescent, 4-110 Watt HO Lamps, Magnetic Ballasts</v>
          </cell>
          <cell r="C85">
            <v>504</v>
          </cell>
          <cell r="D85">
            <v>26863.759999999998</v>
          </cell>
          <cell r="E85" t="str">
            <v>T8 High Performance</v>
          </cell>
          <cell r="F85">
            <v>12000</v>
          </cell>
          <cell r="G85">
            <v>7.02</v>
          </cell>
          <cell r="H85">
            <v>0.09</v>
          </cell>
        </row>
        <row r="86">
          <cell r="B86" t="str">
            <v>T12 8' Fluorescent, 4-185 Watt VHO ES Lamps, Magnetic Ballasts</v>
          </cell>
          <cell r="C86">
            <v>650</v>
          </cell>
          <cell r="D86">
            <v>33480</v>
          </cell>
          <cell r="E86" t="str">
            <v>T8 High Performance</v>
          </cell>
          <cell r="F86">
            <v>12000</v>
          </cell>
          <cell r="G86">
            <v>12.58</v>
          </cell>
          <cell r="H86">
            <v>0.09</v>
          </cell>
        </row>
        <row r="87">
          <cell r="B87" t="str">
            <v>T12 8' Fluorescent, 4-215 Watt VHO Lamps, Magnetic Ballasts</v>
          </cell>
          <cell r="C87">
            <v>880</v>
          </cell>
          <cell r="D87">
            <v>38102.400000000001</v>
          </cell>
          <cell r="E87" t="str">
            <v>T8 High Performance</v>
          </cell>
          <cell r="F87">
            <v>12000</v>
          </cell>
          <cell r="G87">
            <v>11.58</v>
          </cell>
          <cell r="H87">
            <v>0.09</v>
          </cell>
        </row>
        <row r="88">
          <cell r="B88" t="str">
            <v>=================================</v>
          </cell>
        </row>
        <row r="89">
          <cell r="B89" t="str">
            <v>T12 FLUORESCENT (OTHER)</v>
          </cell>
        </row>
        <row r="90">
          <cell r="B90" t="str">
            <v>=================================</v>
          </cell>
        </row>
        <row r="91">
          <cell r="B91" t="str">
            <v>T12 Other Fluorescent, 1-20 Watt Lamp, Magnetic Ballast</v>
          </cell>
          <cell r="C91">
            <v>25</v>
          </cell>
          <cell r="D91">
            <v>943.5</v>
          </cell>
          <cell r="E91" t="str">
            <v>T8 High Performance</v>
          </cell>
          <cell r="F91">
            <v>9000</v>
          </cell>
          <cell r="G91">
            <v>2.17</v>
          </cell>
          <cell r="H91">
            <v>0.09</v>
          </cell>
        </row>
        <row r="92">
          <cell r="B92" t="str">
            <v>T12 Other Fluorescent, 1-25 Watt ES Lamp, Magnetic Ballast</v>
          </cell>
          <cell r="C92">
            <v>42</v>
          </cell>
          <cell r="D92">
            <v>1513.53125</v>
          </cell>
          <cell r="E92" t="str">
            <v>T8 High Performance</v>
          </cell>
          <cell r="F92">
            <v>18000</v>
          </cell>
          <cell r="G92">
            <v>3.89</v>
          </cell>
          <cell r="H92">
            <v>0.09</v>
          </cell>
        </row>
        <row r="93">
          <cell r="B93" t="str">
            <v>T12 Other Fluorescent, 1-30 Watt Lamp, Magnetic Ballast</v>
          </cell>
          <cell r="C93">
            <v>46</v>
          </cell>
          <cell r="D93">
            <v>1790.5687500000001</v>
          </cell>
          <cell r="E93" t="str">
            <v>T8 High Performance</v>
          </cell>
          <cell r="F93">
            <v>18000</v>
          </cell>
          <cell r="G93">
            <v>3.29</v>
          </cell>
          <cell r="H93">
            <v>0.09</v>
          </cell>
        </row>
        <row r="94">
          <cell r="B94" t="str">
            <v>T12 Other Fluorescent, 1-40 Watt Lamp, Energy Efficient Ballast</v>
          </cell>
          <cell r="C94">
            <v>48</v>
          </cell>
          <cell r="D94">
            <v>2234.4</v>
          </cell>
          <cell r="E94" t="str">
            <v>T8 High Performance</v>
          </cell>
          <cell r="F94">
            <v>18000</v>
          </cell>
          <cell r="G94">
            <v>5.09</v>
          </cell>
          <cell r="H94">
            <v>0.09</v>
          </cell>
        </row>
        <row r="95">
          <cell r="B95" t="str">
            <v>----------------------------</v>
          </cell>
        </row>
        <row r="96">
          <cell r="B96" t="str">
            <v>T12 Other Fluorescent, 2-20 Watt Lamps, Magnetic Pre-Heat Ballast</v>
          </cell>
          <cell r="C96">
            <v>50</v>
          </cell>
          <cell r="D96">
            <v>1887</v>
          </cell>
          <cell r="E96" t="str">
            <v>T8 High Performance</v>
          </cell>
          <cell r="F96">
            <v>9000</v>
          </cell>
          <cell r="G96">
            <v>2.17</v>
          </cell>
          <cell r="H96">
            <v>0.09</v>
          </cell>
        </row>
        <row r="97">
          <cell r="B97" t="str">
            <v>T12 Other Fluorescent, 2-25 Watt ES Lamps, Energy Efficient Ballast</v>
          </cell>
          <cell r="C97">
            <v>66</v>
          </cell>
          <cell r="D97">
            <v>3027.0625</v>
          </cell>
          <cell r="E97" t="str">
            <v>T8 High Performance</v>
          </cell>
          <cell r="F97">
            <v>18000</v>
          </cell>
          <cell r="G97">
            <v>3.89</v>
          </cell>
          <cell r="H97">
            <v>0.09</v>
          </cell>
        </row>
        <row r="98">
          <cell r="B98" t="str">
            <v>T12 Other Fluorescent, 2-30 Watt Lamps, Magnetic Pre-Heat Ballast</v>
          </cell>
          <cell r="C98">
            <v>74</v>
          </cell>
          <cell r="D98">
            <v>3581.1375000000003</v>
          </cell>
          <cell r="E98" t="str">
            <v>T8 High Performance</v>
          </cell>
          <cell r="F98">
            <v>18000</v>
          </cell>
          <cell r="G98">
            <v>3.29</v>
          </cell>
          <cell r="H98">
            <v>0.09</v>
          </cell>
        </row>
        <row r="99">
          <cell r="B99" t="str">
            <v>T12 Other Fluorescent, 2-25 Watt ES Lamps, Magnetic Ballast</v>
          </cell>
          <cell r="C99">
            <v>74</v>
          </cell>
          <cell r="D99">
            <v>3027.0625</v>
          </cell>
          <cell r="E99" t="str">
            <v>T8 High Performance</v>
          </cell>
          <cell r="F99">
            <v>18000</v>
          </cell>
          <cell r="G99">
            <v>3.89</v>
          </cell>
          <cell r="H99">
            <v>0.09</v>
          </cell>
        </row>
        <row r="100">
          <cell r="B100" t="str">
            <v>T12 Other Fluorescent, 2- 30 Watt Lamps, Magnetic Ballast</v>
          </cell>
          <cell r="C100">
            <v>79</v>
          </cell>
          <cell r="D100">
            <v>3334.1625000000004</v>
          </cell>
          <cell r="E100" t="str">
            <v>T8 High Performance</v>
          </cell>
          <cell r="F100">
            <v>18000</v>
          </cell>
          <cell r="G100">
            <v>3.29</v>
          </cell>
          <cell r="H100">
            <v>0.09</v>
          </cell>
        </row>
        <row r="101">
          <cell r="B101" t="str">
            <v>T12 Other Fluorescent, 2-40 Watt Lamps, Energy Efficient Ballast</v>
          </cell>
          <cell r="C101">
            <v>86</v>
          </cell>
          <cell r="D101">
            <v>4468.8</v>
          </cell>
          <cell r="E101" t="str">
            <v>T8 High Performance</v>
          </cell>
          <cell r="F101">
            <v>18000</v>
          </cell>
          <cell r="G101">
            <v>5.09</v>
          </cell>
          <cell r="H101">
            <v>0.09</v>
          </cell>
        </row>
        <row r="102">
          <cell r="B102" t="str">
            <v>----------------------------</v>
          </cell>
          <cell r="C102" t="str">
            <v xml:space="preserve"> </v>
          </cell>
        </row>
        <row r="103">
          <cell r="B103" t="str">
            <v>T12 5' Fluorescent, 1-75 Watt HO Lamp, Magnetic Ballast</v>
          </cell>
          <cell r="C103">
            <v>90</v>
          </cell>
          <cell r="D103">
            <v>4212</v>
          </cell>
          <cell r="E103" t="str">
            <v>T8 High Performance</v>
          </cell>
        </row>
        <row r="104">
          <cell r="B104" t="str">
            <v>T12 5' Fluorescent, 2-75 Watt HO Lamps, Magnetic Ballast</v>
          </cell>
          <cell r="C104">
            <v>180</v>
          </cell>
          <cell r="D104">
            <v>8424</v>
          </cell>
          <cell r="E104" t="str">
            <v>T8 High Performance</v>
          </cell>
        </row>
        <row r="105">
          <cell r="B105" t="str">
            <v>T12 6' Fluorescent, 1-85 Watt HO Lamp, Magnetic Ballast</v>
          </cell>
          <cell r="C105">
            <v>102</v>
          </cell>
          <cell r="D105">
            <v>5063</v>
          </cell>
          <cell r="E105" t="str">
            <v>T8 High Performance</v>
          </cell>
          <cell r="F105">
            <v>12000</v>
          </cell>
          <cell r="G105">
            <v>4.28</v>
          </cell>
          <cell r="H105">
            <v>0.09</v>
          </cell>
        </row>
        <row r="106">
          <cell r="B106" t="str">
            <v>T12 6' Fluorescent, 2-85 Watt HO Lamps, Magnetic Ballast</v>
          </cell>
          <cell r="C106">
            <v>204</v>
          </cell>
          <cell r="D106">
            <v>10126</v>
          </cell>
          <cell r="E106" t="str">
            <v>T8 High Performance</v>
          </cell>
        </row>
        <row r="107">
          <cell r="B107" t="str">
            <v>=================================</v>
          </cell>
        </row>
        <row r="108">
          <cell r="B108" t="str">
            <v>METAL HALIDE</v>
          </cell>
        </row>
        <row r="109">
          <cell r="B109" t="str">
            <v>=================================</v>
          </cell>
        </row>
        <row r="110">
          <cell r="B110" t="str">
            <v>Metal Halide, 50 Watt Lamp</v>
          </cell>
          <cell r="C110">
            <v>62</v>
          </cell>
          <cell r="D110">
            <v>2006</v>
          </cell>
          <cell r="E110" t="str">
            <v>Hard-Wired CFL, 1-32 Watt Lamp (new fixture)</v>
          </cell>
          <cell r="F110">
            <v>10000</v>
          </cell>
          <cell r="G110">
            <v>23.01</v>
          </cell>
          <cell r="H110">
            <v>0.4</v>
          </cell>
        </row>
        <row r="111">
          <cell r="B111" t="str">
            <v>Metal Halide, 70 Watt Lamp</v>
          </cell>
          <cell r="C111">
            <v>90</v>
          </cell>
          <cell r="D111">
            <v>2950</v>
          </cell>
          <cell r="E111" t="str">
            <v>Hard-Wired CFL,  2-26 Watt Lamps (new fixture)</v>
          </cell>
          <cell r="F111">
            <v>10000</v>
          </cell>
          <cell r="G111">
            <v>23.01</v>
          </cell>
          <cell r="H111">
            <v>0.4</v>
          </cell>
        </row>
        <row r="112">
          <cell r="B112" t="str">
            <v>Metal Halide, 100 Watt Lamp</v>
          </cell>
          <cell r="C112">
            <v>129</v>
          </cell>
          <cell r="D112">
            <v>5440</v>
          </cell>
          <cell r="E112" t="str">
            <v>Hard-Wired CFL,  2-42 Watt Lamps (new fixture)</v>
          </cell>
          <cell r="F112">
            <v>10000</v>
          </cell>
          <cell r="G112">
            <v>18.399999999999999</v>
          </cell>
          <cell r="H112">
            <v>0.4</v>
          </cell>
        </row>
        <row r="113">
          <cell r="B113" t="str">
            <v>Metal Halide, 150 Watt Lamp</v>
          </cell>
          <cell r="C113">
            <v>185</v>
          </cell>
          <cell r="D113">
            <v>8640</v>
          </cell>
          <cell r="E113" t="str">
            <v>Hard-Wired CFL, 4-26 Watt Lamps (new fixture)</v>
          </cell>
          <cell r="F113">
            <v>10000</v>
          </cell>
          <cell r="G113">
            <v>18.399999999999999</v>
          </cell>
          <cell r="H113">
            <v>0.4</v>
          </cell>
        </row>
        <row r="114">
          <cell r="B114" t="str">
            <v>Metal Halide, 175 Watt Lamp</v>
          </cell>
          <cell r="C114">
            <v>210</v>
          </cell>
          <cell r="D114">
            <v>9400</v>
          </cell>
          <cell r="E114" t="str">
            <v>2 Lamp T5 High Output (high bay) New Fixture</v>
          </cell>
          <cell r="F114">
            <v>10000</v>
          </cell>
          <cell r="G114">
            <v>18.399999999999999</v>
          </cell>
          <cell r="H114">
            <v>0.4</v>
          </cell>
        </row>
        <row r="115">
          <cell r="B115" t="str">
            <v>Metal Halide, 250 Watt Lamp</v>
          </cell>
          <cell r="C115">
            <v>295</v>
          </cell>
          <cell r="D115">
            <v>11300</v>
          </cell>
          <cell r="E115" t="str">
            <v>3 Lamp T5 High Output (high bay) New Fixture</v>
          </cell>
          <cell r="F115">
            <v>10000</v>
          </cell>
          <cell r="G115">
            <v>18.399999999999999</v>
          </cell>
          <cell r="H115">
            <v>0.4</v>
          </cell>
        </row>
        <row r="116">
          <cell r="B116" t="str">
            <v>Metal Halide, 320 Watt Lamp</v>
          </cell>
          <cell r="C116">
            <v>378</v>
          </cell>
          <cell r="D116">
            <v>14464</v>
          </cell>
          <cell r="E116" t="str">
            <v>3 Lamp T5 High Output (high bay) New Fixture</v>
          </cell>
        </row>
        <row r="117">
          <cell r="B117" t="str">
            <v>Metal Halide, 400 Watt Lamp</v>
          </cell>
          <cell r="C117">
            <v>458</v>
          </cell>
          <cell r="D117">
            <v>26000</v>
          </cell>
          <cell r="E117" t="str">
            <v>4 Lamp T5 High Output (high bay) New Fixture</v>
          </cell>
          <cell r="F117">
            <v>10000</v>
          </cell>
          <cell r="G117">
            <v>18.399999999999999</v>
          </cell>
          <cell r="H117">
            <v>0.4</v>
          </cell>
        </row>
        <row r="118">
          <cell r="B118" t="str">
            <v>Metal Halide, 1000 Watt Lamp</v>
          </cell>
          <cell r="C118">
            <v>1080</v>
          </cell>
          <cell r="D118">
            <v>78000</v>
          </cell>
          <cell r="E118" t="str">
            <v>Metal Halide Pulse Start, 750 Watt</v>
          </cell>
          <cell r="F118">
            <v>10000</v>
          </cell>
          <cell r="G118">
            <v>41.41</v>
          </cell>
          <cell r="H118">
            <v>0.4</v>
          </cell>
        </row>
        <row r="119">
          <cell r="B119" t="str">
            <v>Metal Halide, 1500 Watt Lamp</v>
          </cell>
          <cell r="C119">
            <v>1605</v>
          </cell>
          <cell r="D119">
            <v>132000</v>
          </cell>
          <cell r="E119" t="str">
            <v>Metal Halide Pulse Start, 1000 Watt</v>
          </cell>
          <cell r="F119">
            <v>10000</v>
          </cell>
          <cell r="G119">
            <v>47.41</v>
          </cell>
          <cell r="H119">
            <v>0.4</v>
          </cell>
        </row>
        <row r="120">
          <cell r="B120" t="str">
            <v>=================================</v>
          </cell>
        </row>
        <row r="121">
          <cell r="B121" t="str">
            <v>INCANDESCENT</v>
          </cell>
        </row>
        <row r="122">
          <cell r="B122" t="str">
            <v>=================================</v>
          </cell>
        </row>
        <row r="123">
          <cell r="B123" t="str">
            <v>Incandescent, 1-15 Watt Typical Bulb</v>
          </cell>
          <cell r="C123">
            <v>15</v>
          </cell>
          <cell r="D123">
            <v>95.45</v>
          </cell>
          <cell r="E123" t="str">
            <v>Screw-In CFL, 5 Watt</v>
          </cell>
          <cell r="F123">
            <v>1500</v>
          </cell>
          <cell r="G123">
            <v>0.67</v>
          </cell>
          <cell r="H123">
            <v>0.05</v>
          </cell>
        </row>
        <row r="124">
          <cell r="B124" t="str">
            <v>Incandescent, 1-25 Watt Typical Bulb</v>
          </cell>
          <cell r="C124">
            <v>25</v>
          </cell>
          <cell r="D124">
            <v>169.85</v>
          </cell>
          <cell r="E124" t="str">
            <v>Screw-In CFL, 7 Watt</v>
          </cell>
          <cell r="F124">
            <v>1500</v>
          </cell>
          <cell r="G124">
            <v>0.67</v>
          </cell>
          <cell r="H124">
            <v>0.05</v>
          </cell>
        </row>
        <row r="125">
          <cell r="B125" t="str">
            <v>Incandescent, 1-40 Watt Typical Bulb</v>
          </cell>
          <cell r="C125">
            <v>40</v>
          </cell>
          <cell r="D125">
            <v>402.5</v>
          </cell>
          <cell r="E125" t="str">
            <v>Screw-In CFL, 9 Watt</v>
          </cell>
          <cell r="F125">
            <v>1500</v>
          </cell>
          <cell r="G125">
            <v>0.67</v>
          </cell>
          <cell r="H125">
            <v>0.05</v>
          </cell>
        </row>
        <row r="126">
          <cell r="B126" t="str">
            <v>Incandescent, 1-50 Watt Typical Bulb</v>
          </cell>
          <cell r="C126">
            <v>50</v>
          </cell>
          <cell r="D126">
            <v>428.75</v>
          </cell>
          <cell r="E126" t="str">
            <v>Screw-In CFL, 13 Watt</v>
          </cell>
          <cell r="F126">
            <v>1200</v>
          </cell>
          <cell r="G126">
            <v>0.67</v>
          </cell>
          <cell r="H126">
            <v>0.05</v>
          </cell>
        </row>
        <row r="127">
          <cell r="B127" t="str">
            <v>Incandescent, 1-60 Watt Typical Bulb</v>
          </cell>
          <cell r="C127">
            <v>60</v>
          </cell>
          <cell r="D127">
            <v>799.8</v>
          </cell>
          <cell r="E127" t="str">
            <v>Screw-In CFL, 15 Watt</v>
          </cell>
          <cell r="F127">
            <v>1200</v>
          </cell>
          <cell r="G127">
            <v>0.52</v>
          </cell>
          <cell r="H127">
            <v>0.05</v>
          </cell>
        </row>
        <row r="128">
          <cell r="B128" t="str">
            <v>Incandescent, 1-75 Watt Typical Bulb</v>
          </cell>
          <cell r="C128">
            <v>75</v>
          </cell>
          <cell r="D128">
            <v>1085.5999999999999</v>
          </cell>
          <cell r="E128" t="str">
            <v>Screw-In CFL, 20 Watt</v>
          </cell>
          <cell r="F128">
            <v>1200</v>
          </cell>
          <cell r="G128">
            <v>0.52</v>
          </cell>
          <cell r="H128">
            <v>0.05</v>
          </cell>
        </row>
        <row r="129">
          <cell r="B129" t="str">
            <v>Incandescent, 1-100 Watt Typical Bulb</v>
          </cell>
          <cell r="C129">
            <v>100</v>
          </cell>
          <cell r="D129">
            <v>1548</v>
          </cell>
          <cell r="E129" t="str">
            <v>Screw-In CFL, 26 Watt</v>
          </cell>
          <cell r="F129">
            <v>1000</v>
          </cell>
          <cell r="G129">
            <v>0.52</v>
          </cell>
          <cell r="H129">
            <v>0.05</v>
          </cell>
        </row>
        <row r="130">
          <cell r="B130" t="str">
            <v>Incandescent, 1-150 Watt Typical Bulb</v>
          </cell>
          <cell r="C130">
            <v>150</v>
          </cell>
          <cell r="D130">
            <v>2536.5</v>
          </cell>
          <cell r="E130" t="str">
            <v>Screw-In CFL, 42 Watt</v>
          </cell>
          <cell r="F130">
            <v>1000</v>
          </cell>
          <cell r="G130">
            <v>0.52</v>
          </cell>
          <cell r="H130">
            <v>0.05</v>
          </cell>
        </row>
        <row r="131">
          <cell r="B131" t="str">
            <v>----------------------------</v>
          </cell>
        </row>
        <row r="132">
          <cell r="B132" t="str">
            <v>Incandescent, 2-15 Watt Typical Bulbs</v>
          </cell>
          <cell r="C132">
            <v>30</v>
          </cell>
          <cell r="D132">
            <v>190.9</v>
          </cell>
          <cell r="E132" t="str">
            <v>Screw-In CFL, 2-5 Watt</v>
          </cell>
          <cell r="F132">
            <v>1500</v>
          </cell>
          <cell r="G132">
            <v>0.67</v>
          </cell>
          <cell r="H132">
            <v>0.05</v>
          </cell>
        </row>
        <row r="133">
          <cell r="B133" t="str">
            <v>Incandescent, 2-25 Watt Typical Bulbs</v>
          </cell>
          <cell r="C133">
            <v>50</v>
          </cell>
          <cell r="D133">
            <v>339.7</v>
          </cell>
          <cell r="E133" t="str">
            <v>Screw-In CFL, 2-7 Watt</v>
          </cell>
          <cell r="F133">
            <v>1500</v>
          </cell>
          <cell r="G133">
            <v>0.67</v>
          </cell>
          <cell r="H133">
            <v>0.05</v>
          </cell>
        </row>
        <row r="134">
          <cell r="B134" t="str">
            <v>Incandescent, 2-40 Watt Typical Bulbs</v>
          </cell>
          <cell r="C134">
            <v>80</v>
          </cell>
          <cell r="D134">
            <v>805</v>
          </cell>
          <cell r="E134" t="str">
            <v>Screw-In CFL, 2-9 Watt</v>
          </cell>
          <cell r="F134">
            <v>1500</v>
          </cell>
          <cell r="G134">
            <v>0.67</v>
          </cell>
          <cell r="H134">
            <v>0.05</v>
          </cell>
        </row>
        <row r="135">
          <cell r="B135" t="str">
            <v>Incandescent, 2-50 Watt Typical Bulbs</v>
          </cell>
          <cell r="C135">
            <v>100</v>
          </cell>
          <cell r="D135">
            <v>857.5</v>
          </cell>
          <cell r="E135" t="str">
            <v>Screw-In CFL, 2-13 Watt</v>
          </cell>
          <cell r="F135">
            <v>1200</v>
          </cell>
          <cell r="G135">
            <v>0.67</v>
          </cell>
          <cell r="H135">
            <v>0.05</v>
          </cell>
        </row>
        <row r="136">
          <cell r="B136" t="str">
            <v>Incandescent, 2-60 Watt Typical Bulbs</v>
          </cell>
          <cell r="C136">
            <v>120</v>
          </cell>
          <cell r="D136">
            <v>1599.6</v>
          </cell>
          <cell r="E136" t="str">
            <v>Screw-In CFL, 2-15 Watt</v>
          </cell>
          <cell r="F136">
            <v>1200</v>
          </cell>
          <cell r="G136">
            <v>0.52</v>
          </cell>
          <cell r="H136">
            <v>0.05</v>
          </cell>
        </row>
        <row r="137">
          <cell r="B137" t="str">
            <v>Incandescent, 2-75 Watt Typical Bulbs</v>
          </cell>
          <cell r="C137">
            <v>150</v>
          </cell>
          <cell r="D137">
            <v>2171.1999999999998</v>
          </cell>
          <cell r="E137" t="str">
            <v>Screw-In CFL, 2-20 Watt</v>
          </cell>
          <cell r="F137">
            <v>1200</v>
          </cell>
          <cell r="G137">
            <v>0.52</v>
          </cell>
          <cell r="H137">
            <v>0.05</v>
          </cell>
        </row>
        <row r="138">
          <cell r="B138" t="str">
            <v>Incandescent, 2-100 Watt Typical Bulbs</v>
          </cell>
          <cell r="C138">
            <v>200</v>
          </cell>
          <cell r="D138">
            <v>3096</v>
          </cell>
          <cell r="E138" t="str">
            <v>Screw-In CFL, 2-26 Watt</v>
          </cell>
          <cell r="F138">
            <v>1000</v>
          </cell>
          <cell r="G138">
            <v>0.52</v>
          </cell>
          <cell r="H138">
            <v>0.05</v>
          </cell>
        </row>
        <row r="139">
          <cell r="B139" t="str">
            <v>Incandescent, 2-150 Watt Typical Bulbs</v>
          </cell>
          <cell r="C139">
            <v>300</v>
          </cell>
          <cell r="D139">
            <v>5073</v>
          </cell>
          <cell r="E139" t="str">
            <v>Screw-In CFL, 2-42 Watt</v>
          </cell>
          <cell r="F139">
            <v>1000</v>
          </cell>
          <cell r="G139">
            <v>0.52</v>
          </cell>
          <cell r="H139">
            <v>0.05</v>
          </cell>
        </row>
        <row r="140">
          <cell r="B140" t="str">
            <v>----------------------------</v>
          </cell>
        </row>
        <row r="141">
          <cell r="B141" t="str">
            <v>Incandescent, 4-40 Watt Typical Bulbs</v>
          </cell>
          <cell r="C141">
            <v>160</v>
          </cell>
          <cell r="D141">
            <v>1610</v>
          </cell>
          <cell r="E141" t="str">
            <v>Screw-In CFL, 4-9 Watt</v>
          </cell>
          <cell r="F141">
            <v>1500</v>
          </cell>
          <cell r="G141">
            <v>0.67</v>
          </cell>
          <cell r="H141">
            <v>0.05</v>
          </cell>
        </row>
        <row r="142">
          <cell r="B142" t="str">
            <v>Incandescent, 4-60 Watt Typical Bulbs</v>
          </cell>
          <cell r="C142">
            <v>240</v>
          </cell>
          <cell r="D142">
            <v>3199.2</v>
          </cell>
          <cell r="E142" t="str">
            <v>Screw-In CFL, 4-15 Watt</v>
          </cell>
          <cell r="F142">
            <v>1200</v>
          </cell>
          <cell r="G142">
            <v>0.67</v>
          </cell>
          <cell r="H142">
            <v>0.05</v>
          </cell>
        </row>
        <row r="143">
          <cell r="B143" t="str">
            <v>Incandescent, 4-75 Watt Typical Bulbs</v>
          </cell>
          <cell r="C143">
            <v>300</v>
          </cell>
          <cell r="D143">
            <v>4342.3999999999996</v>
          </cell>
          <cell r="E143" t="str">
            <v>Screw-In CFL, 4-20 Watt</v>
          </cell>
          <cell r="F143">
            <v>1200</v>
          </cell>
          <cell r="G143">
            <v>0.52</v>
          </cell>
          <cell r="H143">
            <v>0.05</v>
          </cell>
        </row>
        <row r="144">
          <cell r="B144" t="str">
            <v>Incandescent, 4-100 Watt Typical Bulbs</v>
          </cell>
          <cell r="C144">
            <v>400</v>
          </cell>
          <cell r="D144">
            <v>6192</v>
          </cell>
          <cell r="E144" t="str">
            <v>Screw-In CFL, 4-26 Watt</v>
          </cell>
          <cell r="F144">
            <v>1200</v>
          </cell>
          <cell r="G144">
            <v>0.52</v>
          </cell>
          <cell r="H144">
            <v>0.05</v>
          </cell>
        </row>
        <row r="145">
          <cell r="B145" t="str">
            <v>----------------------------</v>
          </cell>
        </row>
        <row r="146">
          <cell r="B146" t="str">
            <v>Incandescent, 1-65 Watt PAR Lamp</v>
          </cell>
          <cell r="C146">
            <v>65</v>
          </cell>
          <cell r="D146">
            <v>607.5</v>
          </cell>
          <cell r="E146" t="str">
            <v>New LED Downlight (recessed can, LR6 or equivalent)</v>
          </cell>
          <cell r="F146">
            <v>2000</v>
          </cell>
          <cell r="G146">
            <v>4</v>
          </cell>
          <cell r="H146">
            <v>0.09</v>
          </cell>
        </row>
        <row r="147">
          <cell r="B147" t="str">
            <v>Incandescent, 75 Watt Reflector Lamp</v>
          </cell>
          <cell r="C147">
            <v>75</v>
          </cell>
          <cell r="D147">
            <v>801</v>
          </cell>
          <cell r="E147" t="str">
            <v>New LED Downlight (recessed can, LR6 or equivalent)</v>
          </cell>
          <cell r="F147">
            <v>2000</v>
          </cell>
          <cell r="G147">
            <v>7</v>
          </cell>
          <cell r="H147">
            <v>0.09</v>
          </cell>
        </row>
        <row r="148">
          <cell r="B148" t="str">
            <v>Incandescent, 90 Watt  Reflector Lamp</v>
          </cell>
          <cell r="C148">
            <v>90</v>
          </cell>
          <cell r="D148">
            <v>1071</v>
          </cell>
          <cell r="E148" t="str">
            <v>Screw-in Ceramic Metal Halide (self-ballasted)</v>
          </cell>
          <cell r="F148">
            <v>2000</v>
          </cell>
          <cell r="G148">
            <v>7</v>
          </cell>
          <cell r="H148">
            <v>0.09</v>
          </cell>
        </row>
        <row r="149">
          <cell r="B149" t="str">
            <v>Incandescent, 100 Watt Reflector Lamp</v>
          </cell>
          <cell r="C149">
            <v>100</v>
          </cell>
          <cell r="D149">
            <v>1071</v>
          </cell>
          <cell r="E149" t="str">
            <v>Screw-in Ceramic Metal Halide (self-ballasted)</v>
          </cell>
          <cell r="F149">
            <v>2000</v>
          </cell>
          <cell r="G149">
            <v>7</v>
          </cell>
          <cell r="H149">
            <v>0.09</v>
          </cell>
        </row>
        <row r="150">
          <cell r="B150" t="str">
            <v>Incandescent, 120 Watt Reflector Lamp</v>
          </cell>
          <cell r="C150">
            <v>120</v>
          </cell>
          <cell r="D150">
            <v>1440</v>
          </cell>
          <cell r="E150" t="str">
            <v>Ceramic Metal Halide, 1-39 Watt PAR Lamp</v>
          </cell>
          <cell r="F150">
            <v>2000</v>
          </cell>
          <cell r="G150">
            <v>7</v>
          </cell>
          <cell r="H150">
            <v>0.09</v>
          </cell>
        </row>
        <row r="151">
          <cell r="B151" t="str">
            <v>Incandescent, 150 Watt Reflector Lamp</v>
          </cell>
          <cell r="C151">
            <v>150</v>
          </cell>
          <cell r="D151">
            <v>1710</v>
          </cell>
          <cell r="E151" t="str">
            <v>Ceramic Metal Halide, 1-39 Watt PAR Lamp</v>
          </cell>
          <cell r="F151">
            <v>2000</v>
          </cell>
          <cell r="G151">
            <v>7</v>
          </cell>
          <cell r="H151">
            <v>0.09</v>
          </cell>
        </row>
        <row r="152">
          <cell r="B152" t="str">
            <v>----------------------------</v>
          </cell>
        </row>
        <row r="153">
          <cell r="B153" t="str">
            <v>Incandescent, 1-200 Watt Bulb</v>
          </cell>
          <cell r="C153">
            <v>200</v>
          </cell>
          <cell r="D153">
            <v>3153.5</v>
          </cell>
          <cell r="E153" t="str">
            <v>Screw-In CFL, 42 Watt</v>
          </cell>
          <cell r="F153">
            <v>750</v>
          </cell>
          <cell r="G153">
            <v>4.29</v>
          </cell>
          <cell r="H153">
            <v>0.09</v>
          </cell>
        </row>
        <row r="154">
          <cell r="B154" t="str">
            <v>Incandescent, 1-300 Watt Bulb</v>
          </cell>
          <cell r="C154">
            <v>300</v>
          </cell>
          <cell r="D154">
            <v>4801.5</v>
          </cell>
          <cell r="E154" t="str">
            <v>Screw-In CFL, 85 Watt</v>
          </cell>
          <cell r="F154">
            <v>750</v>
          </cell>
          <cell r="G154">
            <v>4.92</v>
          </cell>
          <cell r="H154">
            <v>0.09</v>
          </cell>
        </row>
        <row r="155">
          <cell r="B155" t="str">
            <v>Incandescent, 1-500 Watt Bulb</v>
          </cell>
          <cell r="C155">
            <v>500</v>
          </cell>
          <cell r="D155">
            <v>8811</v>
          </cell>
          <cell r="E155" t="str">
            <v>T8 High Performance</v>
          </cell>
          <cell r="F155">
            <v>750</v>
          </cell>
          <cell r="G155">
            <v>10.84</v>
          </cell>
          <cell r="H155">
            <v>0.09</v>
          </cell>
        </row>
        <row r="156">
          <cell r="B156" t="str">
            <v>Incandescent, 1-620 Watt Bulb</v>
          </cell>
          <cell r="C156">
            <v>620</v>
          </cell>
          <cell r="D156">
            <v>9350</v>
          </cell>
          <cell r="E156" t="str">
            <v>T8 High Performance</v>
          </cell>
          <cell r="F156">
            <v>750</v>
          </cell>
          <cell r="G156">
            <v>15.36</v>
          </cell>
          <cell r="H156">
            <v>0.09</v>
          </cell>
        </row>
        <row r="157">
          <cell r="B157" t="str">
            <v>=================================</v>
          </cell>
        </row>
        <row r="158">
          <cell r="B158" t="str">
            <v>HALOGEN</v>
          </cell>
        </row>
        <row r="159">
          <cell r="B159" t="str">
            <v>=================================</v>
          </cell>
        </row>
        <row r="160">
          <cell r="B160" t="str">
            <v>MR-16 or MRC-16 Halogen Display Lamps, 20 Watts</v>
          </cell>
          <cell r="C160">
            <v>20</v>
          </cell>
          <cell r="D160">
            <v>240</v>
          </cell>
          <cell r="E160" t="str">
            <v>Screw-in LED</v>
          </cell>
          <cell r="F160" t="str">
            <v>No Default</v>
          </cell>
          <cell r="G160" t="str">
            <v>No Default</v>
          </cell>
          <cell r="H160" t="str">
            <v>No Default</v>
          </cell>
        </row>
        <row r="161">
          <cell r="B161" t="str">
            <v>MR-16 or MRC-16 Halogen Display Lamps, 35 Watts</v>
          </cell>
          <cell r="C161">
            <v>35</v>
          </cell>
          <cell r="D161">
            <v>490</v>
          </cell>
          <cell r="E161" t="str">
            <v>Screw-in LED</v>
          </cell>
          <cell r="F161" t="str">
            <v>No Default</v>
          </cell>
          <cell r="G161" t="str">
            <v>No Default</v>
          </cell>
          <cell r="H161" t="str">
            <v>No Default</v>
          </cell>
        </row>
        <row r="162">
          <cell r="B162" t="str">
            <v>MR-16 or MRC-16 Halogen Display Lamps, 40 Watts</v>
          </cell>
          <cell r="C162">
            <v>40</v>
          </cell>
          <cell r="D162">
            <v>600</v>
          </cell>
          <cell r="E162" t="str">
            <v>Screw-in LED</v>
          </cell>
          <cell r="F162" t="str">
            <v>No Default</v>
          </cell>
          <cell r="G162" t="str">
            <v>No Default</v>
          </cell>
          <cell r="H162" t="str">
            <v>No Default</v>
          </cell>
        </row>
        <row r="163">
          <cell r="B163" t="str">
            <v>MR-16 or MRC-16 Halogen Display Lamps, 50 Watts</v>
          </cell>
          <cell r="C163">
            <v>50</v>
          </cell>
          <cell r="D163">
            <v>790</v>
          </cell>
          <cell r="E163" t="str">
            <v>Screw-in Ceramic Metal Halide (self-ballasted)</v>
          </cell>
          <cell r="F163" t="str">
            <v>No Default</v>
          </cell>
          <cell r="G163" t="str">
            <v>No Default</v>
          </cell>
          <cell r="H163" t="str">
            <v>No Default</v>
          </cell>
        </row>
        <row r="164">
          <cell r="B164" t="str">
            <v>MR-16 or MRC-16 Halogen Display Lamps, 75 Watts</v>
          </cell>
          <cell r="C164">
            <v>75</v>
          </cell>
          <cell r="D164">
            <v>1320</v>
          </cell>
          <cell r="E164" t="str">
            <v>Screw-in Ceramic Metal Halide (self-ballasted)</v>
          </cell>
          <cell r="F164" t="str">
            <v>No Default</v>
          </cell>
          <cell r="G164" t="str">
            <v>No Default</v>
          </cell>
          <cell r="H164" t="str">
            <v>No Default</v>
          </cell>
        </row>
        <row r="165">
          <cell r="B165" t="str">
            <v>----------------------------</v>
          </cell>
        </row>
        <row r="166">
          <cell r="B166" t="str">
            <v>Halogen, 100 Watt</v>
          </cell>
          <cell r="C166">
            <v>100</v>
          </cell>
          <cell r="D166">
            <v>1440</v>
          </cell>
          <cell r="E166" t="str">
            <v>Screw-in Ceramic Metal Halide (self-ballasted)</v>
          </cell>
          <cell r="F166">
            <v>1500</v>
          </cell>
          <cell r="G166">
            <v>5.99</v>
          </cell>
          <cell r="H166">
            <v>0.09</v>
          </cell>
        </row>
        <row r="167">
          <cell r="B167" t="str">
            <v>Halogen, 150 Watt</v>
          </cell>
          <cell r="C167">
            <v>150</v>
          </cell>
          <cell r="D167">
            <v>2160</v>
          </cell>
          <cell r="E167" t="str">
            <v>Ceramic Metal Halide, 1-39 Watt PAR Lamp</v>
          </cell>
          <cell r="F167">
            <v>1500</v>
          </cell>
          <cell r="G167">
            <v>5.99</v>
          </cell>
          <cell r="H167">
            <v>0.09</v>
          </cell>
        </row>
        <row r="168">
          <cell r="B168" t="str">
            <v>Halogen, 250 Watt</v>
          </cell>
          <cell r="C168">
            <v>250</v>
          </cell>
          <cell r="D168">
            <v>3600</v>
          </cell>
          <cell r="E168" t="str">
            <v>Ceramic Metal Halide, 1-70 Watt PAR Lamp</v>
          </cell>
          <cell r="F168">
            <v>1500</v>
          </cell>
          <cell r="G168">
            <v>6.55</v>
          </cell>
          <cell r="H168">
            <v>0.09</v>
          </cell>
        </row>
        <row r="169">
          <cell r="B169" t="str">
            <v>Halogen, 300 Watt</v>
          </cell>
          <cell r="C169">
            <v>300</v>
          </cell>
          <cell r="D169">
            <v>4680</v>
          </cell>
          <cell r="E169" t="str">
            <v>Ceramic Metal Halide, 1-100 Watt PAR Lamp</v>
          </cell>
          <cell r="F169">
            <v>1500</v>
          </cell>
          <cell r="G169">
            <v>7.05</v>
          </cell>
          <cell r="H169">
            <v>0.09</v>
          </cell>
        </row>
        <row r="170">
          <cell r="B170" t="str">
            <v>Halogen, 500 Watt</v>
          </cell>
          <cell r="C170">
            <v>500</v>
          </cell>
          <cell r="D170">
            <v>8550</v>
          </cell>
          <cell r="E170" t="str">
            <v>Ceramic Metal Halide, 1-150 Watt Lamp (single or double end)</v>
          </cell>
          <cell r="F170">
            <v>1500</v>
          </cell>
          <cell r="G170">
            <v>6.98</v>
          </cell>
          <cell r="H170">
            <v>0.09</v>
          </cell>
        </row>
        <row r="171">
          <cell r="B171" t="str">
            <v>Halogen, 750 Watt</v>
          </cell>
          <cell r="C171">
            <v>750</v>
          </cell>
          <cell r="D171">
            <v>13500</v>
          </cell>
          <cell r="E171" t="str">
            <v>Metal Halide Pulse Start, 200 Watt Lamp</v>
          </cell>
          <cell r="F171">
            <v>1500</v>
          </cell>
          <cell r="G171">
            <v>14</v>
          </cell>
          <cell r="H171">
            <v>0.09</v>
          </cell>
        </row>
        <row r="172">
          <cell r="B172" t="str">
            <v>Halogen, 1000 Watt</v>
          </cell>
          <cell r="C172">
            <v>1000</v>
          </cell>
          <cell r="D172">
            <v>18900</v>
          </cell>
          <cell r="E172" t="str">
            <v>Metal Halide Pulse Start, 200 Watt Lamp</v>
          </cell>
          <cell r="F172">
            <v>1500</v>
          </cell>
          <cell r="G172">
            <v>14</v>
          </cell>
          <cell r="H172">
            <v>0.09</v>
          </cell>
        </row>
        <row r="173">
          <cell r="B173" t="str">
            <v>Halogen, 1500 Watt</v>
          </cell>
          <cell r="C173">
            <v>1500</v>
          </cell>
          <cell r="D173">
            <v>29700</v>
          </cell>
          <cell r="E173" t="str">
            <v>Metal Halide Pulse Start, 350 Watt Lamp</v>
          </cell>
          <cell r="F173">
            <v>1500</v>
          </cell>
          <cell r="G173">
            <v>14</v>
          </cell>
          <cell r="H173">
            <v>0.09</v>
          </cell>
        </row>
        <row r="174">
          <cell r="B174" t="str">
            <v>=================================</v>
          </cell>
        </row>
        <row r="175">
          <cell r="B175" t="str">
            <v>HIGH PRESSURE SODIUM</v>
          </cell>
        </row>
        <row r="176">
          <cell r="B176" t="str">
            <v>=================================</v>
          </cell>
        </row>
        <row r="177">
          <cell r="B177" t="str">
            <v>High Pressure Sodium, 35 Watt Lamp</v>
          </cell>
          <cell r="C177">
            <v>45</v>
          </cell>
          <cell r="D177">
            <v>1845</v>
          </cell>
          <cell r="E177" t="str">
            <v>None</v>
          </cell>
          <cell r="F177">
            <v>24000</v>
          </cell>
          <cell r="G177">
            <v>15.72</v>
          </cell>
          <cell r="H177">
            <v>0.4</v>
          </cell>
        </row>
        <row r="178">
          <cell r="B178" t="str">
            <v>High Pressure Sodium, 50 Watt Lamp</v>
          </cell>
          <cell r="C178">
            <v>68</v>
          </cell>
          <cell r="D178">
            <v>3280</v>
          </cell>
          <cell r="E178" t="str">
            <v>None</v>
          </cell>
          <cell r="F178">
            <v>24000</v>
          </cell>
          <cell r="G178">
            <v>15.72</v>
          </cell>
          <cell r="H178">
            <v>0.4</v>
          </cell>
        </row>
        <row r="179">
          <cell r="B179" t="str">
            <v>High Pressure Sodium, 70 Watt Lamp</v>
          </cell>
          <cell r="C179">
            <v>86</v>
          </cell>
          <cell r="D179">
            <v>5166</v>
          </cell>
          <cell r="E179" t="str">
            <v>None</v>
          </cell>
          <cell r="F179">
            <v>24000</v>
          </cell>
          <cell r="G179">
            <v>15.72</v>
          </cell>
          <cell r="H179">
            <v>0.4</v>
          </cell>
        </row>
        <row r="180">
          <cell r="B180" t="str">
            <v>High Pressure Sodium, 100 Watt Lamp</v>
          </cell>
          <cell r="C180">
            <v>120</v>
          </cell>
          <cell r="D180">
            <v>7790</v>
          </cell>
          <cell r="E180" t="str">
            <v>1 Lamp T5 High Output (high bay) New Fixture</v>
          </cell>
          <cell r="F180">
            <v>24000</v>
          </cell>
          <cell r="G180">
            <v>15.72</v>
          </cell>
          <cell r="H180">
            <v>0.4</v>
          </cell>
        </row>
        <row r="181">
          <cell r="B181" t="str">
            <v>High Pressure Sodium, 150 Watt Lamp</v>
          </cell>
          <cell r="C181">
            <v>170</v>
          </cell>
          <cell r="D181">
            <v>13120</v>
          </cell>
          <cell r="E181" t="str">
            <v>1 Lamp T5 High Output (high bay) New Fixture</v>
          </cell>
          <cell r="F181">
            <v>24000</v>
          </cell>
          <cell r="G181">
            <v>15.72</v>
          </cell>
          <cell r="H181">
            <v>0.4</v>
          </cell>
        </row>
        <row r="182">
          <cell r="B182" t="str">
            <v>High Pressure Sodium,  200 Watt Lamp</v>
          </cell>
          <cell r="C182">
            <v>245</v>
          </cell>
          <cell r="D182">
            <v>18040</v>
          </cell>
          <cell r="E182" t="str">
            <v>2 Lamp T5 High Output (high bay) New Fixture</v>
          </cell>
          <cell r="F182">
            <v>24000</v>
          </cell>
          <cell r="G182">
            <v>15.72</v>
          </cell>
          <cell r="H182">
            <v>0.4</v>
          </cell>
        </row>
        <row r="183">
          <cell r="B183" t="str">
            <v>High Pressure Sodium, 250 Watt Lamp</v>
          </cell>
          <cell r="C183">
            <v>295</v>
          </cell>
          <cell r="D183">
            <v>22550</v>
          </cell>
          <cell r="E183" t="str">
            <v>3 Lamp T5 High Output (high bay)  New Fixture with fixture-mounted occupancy sensor (reduce proposed operating hours accordingly)</v>
          </cell>
          <cell r="F183">
            <v>24000</v>
          </cell>
          <cell r="G183">
            <v>15.72</v>
          </cell>
          <cell r="H183">
            <v>0.4</v>
          </cell>
        </row>
        <row r="184">
          <cell r="B184" t="str">
            <v>High Pressure Sodium, 310 Watt Lamp</v>
          </cell>
          <cell r="C184">
            <v>365</v>
          </cell>
          <cell r="D184">
            <v>30340</v>
          </cell>
          <cell r="E184" t="str">
            <v>4 Lamp T5 High Output (high-bay) New Fixture with fixture-mounted occupancy sensor (reduce proposed operating hours accordingly)</v>
          </cell>
          <cell r="F184">
            <v>24000</v>
          </cell>
          <cell r="G184">
            <v>15.72</v>
          </cell>
          <cell r="H184">
            <v>0.4</v>
          </cell>
        </row>
        <row r="185">
          <cell r="B185" t="str">
            <v>High Pressure Sodium, 400 Watt Lamp</v>
          </cell>
          <cell r="C185">
            <v>457</v>
          </cell>
          <cell r="D185">
            <v>41000</v>
          </cell>
          <cell r="E185" t="str">
            <v>6 Lamp T5 High Output (high-bay) New Fixture with fixture-mounted occupancy sensor (reduce proposed operating hours accordingly)</v>
          </cell>
          <cell r="F185">
            <v>24000</v>
          </cell>
          <cell r="G185">
            <v>15.72</v>
          </cell>
          <cell r="H185">
            <v>0.4</v>
          </cell>
        </row>
        <row r="186">
          <cell r="B186" t="str">
            <v>High Pressure Sodium, 1000 Watt Lamp</v>
          </cell>
          <cell r="C186">
            <v>1100</v>
          </cell>
          <cell r="D186">
            <v>114800</v>
          </cell>
          <cell r="E186" t="str">
            <v>12 Lamp T5 High Output (high bay) New Fixture</v>
          </cell>
          <cell r="F186">
            <v>24000</v>
          </cell>
          <cell r="G186">
            <v>47.92</v>
          </cell>
          <cell r="H186">
            <v>0.4</v>
          </cell>
        </row>
        <row r="187">
          <cell r="B187" t="str">
            <v>=================================</v>
          </cell>
        </row>
        <row r="188">
          <cell r="B188" t="str">
            <v>MERCURY VAPOR</v>
          </cell>
        </row>
        <row r="189">
          <cell r="B189" t="str">
            <v>=================================</v>
          </cell>
        </row>
        <row r="190">
          <cell r="B190" t="str">
            <v>Mercury Vapor, 100 Watt Lamp</v>
          </cell>
          <cell r="C190">
            <v>125</v>
          </cell>
          <cell r="D190">
            <v>3400</v>
          </cell>
          <cell r="E190" t="str">
            <v>T8 High Performance</v>
          </cell>
          <cell r="F190">
            <v>24000</v>
          </cell>
          <cell r="G190">
            <v>12.35</v>
          </cell>
          <cell r="H190">
            <v>0.4</v>
          </cell>
        </row>
        <row r="191">
          <cell r="B191" t="str">
            <v>Mercury Vapor, 175 Watt Lamp</v>
          </cell>
          <cell r="C191">
            <v>205</v>
          </cell>
          <cell r="D191">
            <v>7600</v>
          </cell>
          <cell r="E191" t="str">
            <v>T8 High Performance</v>
          </cell>
          <cell r="F191">
            <v>24000</v>
          </cell>
          <cell r="G191">
            <v>12.35</v>
          </cell>
          <cell r="H191">
            <v>0.4</v>
          </cell>
        </row>
        <row r="192">
          <cell r="B192" t="str">
            <v>Mercury Vapor, 250 Watt Lamp</v>
          </cell>
          <cell r="C192">
            <v>285</v>
          </cell>
          <cell r="D192">
            <v>10700</v>
          </cell>
          <cell r="E192" t="str">
            <v>T8 High Performance</v>
          </cell>
          <cell r="F192">
            <v>24000</v>
          </cell>
          <cell r="G192">
            <v>13.85</v>
          </cell>
          <cell r="H192">
            <v>0.4</v>
          </cell>
        </row>
        <row r="193">
          <cell r="B193" t="str">
            <v>Mercury Vapor, 400 Watt Lamp</v>
          </cell>
          <cell r="C193">
            <v>454</v>
          </cell>
          <cell r="D193">
            <v>19100</v>
          </cell>
          <cell r="E193" t="str">
            <v>T8 High Performance</v>
          </cell>
          <cell r="F193">
            <v>24000</v>
          </cell>
          <cell r="G193">
            <v>18.34</v>
          </cell>
          <cell r="H193">
            <v>0.4</v>
          </cell>
        </row>
        <row r="194">
          <cell r="B194" t="str">
            <v>Mercury Vapor, 1000 Watt Lamp</v>
          </cell>
          <cell r="C194">
            <v>1080</v>
          </cell>
          <cell r="D194">
            <v>45000</v>
          </cell>
          <cell r="E194" t="str">
            <v>T8 High Performance</v>
          </cell>
          <cell r="F194">
            <v>24000</v>
          </cell>
          <cell r="G194">
            <v>64.08</v>
          </cell>
          <cell r="H194">
            <v>0.4</v>
          </cell>
        </row>
        <row r="195">
          <cell r="B195" t="str">
            <v>=================================</v>
          </cell>
        </row>
        <row r="196">
          <cell r="B196" t="str">
            <v>ENTER OTHER LAMP/BALLAST COMBINATIONS</v>
          </cell>
        </row>
        <row r="197">
          <cell r="B197" t="str">
            <v>=================================</v>
          </cell>
        </row>
        <row r="198">
          <cell r="E198" t="str">
            <v>Explain in notes field on site audit tab if necessary</v>
          </cell>
        </row>
        <row r="199">
          <cell r="E199" t="str">
            <v>Explain in notes field on site audit tab if necessary</v>
          </cell>
        </row>
        <row r="200">
          <cell r="E200" t="str">
            <v>Explain in notes field on site audit tab if necessary</v>
          </cell>
        </row>
        <row r="201">
          <cell r="E201" t="str">
            <v>Explain in notes field on site audit tab if necessary</v>
          </cell>
        </row>
        <row r="202">
          <cell r="B202" t="str">
            <v>=================================</v>
          </cell>
        </row>
      </sheetData>
      <sheetData sheetId="6">
        <row r="3">
          <cell r="B3" t="str">
            <v xml:space="preserve"> Description of Proposed Lighting Controls</v>
          </cell>
          <cell r="C3" t="str">
            <v>Wattage Controlled</v>
          </cell>
          <cell r="D3" t="str">
            <v>Hours Reduced</v>
          </cell>
        </row>
        <row r="4">
          <cell r="B4" t="str">
            <v>=================================</v>
          </cell>
          <cell r="C4" t="str">
            <v>#</v>
          </cell>
          <cell r="D4" t="str">
            <v>#</v>
          </cell>
        </row>
        <row r="5">
          <cell r="B5" t="str">
            <v>No Changes to Lighting Controls (Default)</v>
          </cell>
          <cell r="C5">
            <v>0</v>
          </cell>
          <cell r="D5">
            <v>0</v>
          </cell>
        </row>
        <row r="6">
          <cell r="B6" t="str">
            <v>=================================</v>
          </cell>
          <cell r="C6" t="str">
            <v>#</v>
          </cell>
          <cell r="D6" t="str">
            <v>#</v>
          </cell>
        </row>
        <row r="7">
          <cell r="B7" t="str">
            <v>Motion Sensor (All Lamps, 20% Hr. Reduction)</v>
          </cell>
          <cell r="C7">
            <v>1</v>
          </cell>
          <cell r="D7">
            <v>0.2</v>
          </cell>
        </row>
        <row r="8">
          <cell r="B8" t="str">
            <v>Motion Sensor (All Lamps, 40% Hr. Reduction)</v>
          </cell>
          <cell r="C8">
            <v>1</v>
          </cell>
          <cell r="D8">
            <v>0.4</v>
          </cell>
        </row>
        <row r="9">
          <cell r="B9" t="str">
            <v>Motion Sensor (All Lamps, 50% Hr. Reduction)</v>
          </cell>
          <cell r="C9">
            <v>1</v>
          </cell>
          <cell r="D9">
            <v>0.5</v>
          </cell>
        </row>
        <row r="10">
          <cell r="B10" t="str">
            <v>Motion Sensor (All Lamps, 60% Hr. Reduction)</v>
          </cell>
          <cell r="C10">
            <v>1</v>
          </cell>
          <cell r="D10">
            <v>0.6</v>
          </cell>
        </row>
        <row r="11">
          <cell r="B11" t="str">
            <v>Motion Sensor (All Lamps, 80% Hr. Reduction)</v>
          </cell>
          <cell r="C11">
            <v>1</v>
          </cell>
          <cell r="D11">
            <v>0.8</v>
          </cell>
        </row>
        <row r="12">
          <cell r="B12" t="str">
            <v>=================================</v>
          </cell>
          <cell r="C12" t="str">
            <v>#</v>
          </cell>
          <cell r="D12" t="str">
            <v>#</v>
          </cell>
        </row>
        <row r="13">
          <cell r="B13" t="str">
            <v>Motion Sensor (2/3 Lamps, 20% Hr. Reduction)</v>
          </cell>
          <cell r="C13">
            <v>0.66</v>
          </cell>
          <cell r="D13">
            <v>0.2</v>
          </cell>
        </row>
        <row r="14">
          <cell r="B14" t="str">
            <v>Motion Sensor (2/3 Lamps, 40% Hr. Reduction)</v>
          </cell>
          <cell r="C14">
            <v>0.66</v>
          </cell>
          <cell r="D14">
            <v>0.4</v>
          </cell>
        </row>
        <row r="15">
          <cell r="B15" t="str">
            <v>Motion Sensor (2/3 Lamps, 50% Hr. Reduction)</v>
          </cell>
          <cell r="C15">
            <v>0.66</v>
          </cell>
          <cell r="D15">
            <v>0.5</v>
          </cell>
        </row>
        <row r="16">
          <cell r="B16" t="str">
            <v>Motion Sensor (2/3 Lamps, 60% Hr. Reduction)</v>
          </cell>
          <cell r="C16">
            <v>0.66</v>
          </cell>
          <cell r="D16">
            <v>0.6</v>
          </cell>
        </row>
        <row r="17">
          <cell r="B17" t="str">
            <v>Motion Sensor (2/3 Lamps, 80% Hr. Reduction)</v>
          </cell>
          <cell r="C17">
            <v>0.66</v>
          </cell>
          <cell r="D17">
            <v>0.8</v>
          </cell>
        </row>
        <row r="18">
          <cell r="B18" t="str">
            <v>=================================</v>
          </cell>
          <cell r="C18" t="str">
            <v>#</v>
          </cell>
          <cell r="D18" t="str">
            <v>#</v>
          </cell>
        </row>
        <row r="19">
          <cell r="B19" t="str">
            <v>Motion Sensor (1/2 Lamps, 20% Hr. Reduction)</v>
          </cell>
          <cell r="C19">
            <v>0.5</v>
          </cell>
          <cell r="D19">
            <v>0.2</v>
          </cell>
        </row>
        <row r="20">
          <cell r="B20" t="str">
            <v>Motion Sensor (1/2 Lamps, 40% Hr. Reduction)</v>
          </cell>
          <cell r="C20">
            <v>0.5</v>
          </cell>
          <cell r="D20">
            <v>0.4</v>
          </cell>
        </row>
        <row r="21">
          <cell r="B21" t="str">
            <v>Motion Sensor (1/2 Lamps, 50% Hr. Reduction)</v>
          </cell>
          <cell r="C21">
            <v>0.5</v>
          </cell>
          <cell r="D21">
            <v>0.5</v>
          </cell>
        </row>
        <row r="22">
          <cell r="B22" t="str">
            <v>Motion Sensor (1/2 Lamps, 60% Hr. Reduction)</v>
          </cell>
          <cell r="C22">
            <v>0.5</v>
          </cell>
          <cell r="D22">
            <v>0.6</v>
          </cell>
        </row>
        <row r="23">
          <cell r="B23" t="str">
            <v>Motion Sensor (1/2 Lamps, 80% Hr. Reduction)</v>
          </cell>
          <cell r="C23">
            <v>0.5</v>
          </cell>
          <cell r="D23">
            <v>0.8</v>
          </cell>
        </row>
        <row r="24">
          <cell r="B24" t="str">
            <v>=================================</v>
          </cell>
          <cell r="C24" t="str">
            <v>#</v>
          </cell>
          <cell r="D24" t="str">
            <v>#</v>
          </cell>
        </row>
        <row r="25">
          <cell r="B25" t="str">
            <v>Daylighting / Photo Sensor Controls</v>
          </cell>
          <cell r="C25" t="str">
            <v>#</v>
          </cell>
          <cell r="D25" t="str">
            <v>#</v>
          </cell>
        </row>
        <row r="26">
          <cell r="B26" t="str">
            <v>=================================</v>
          </cell>
          <cell r="C26" t="str">
            <v>#</v>
          </cell>
          <cell r="D26" t="str">
            <v>#</v>
          </cell>
        </row>
        <row r="27">
          <cell r="B27" t="str">
            <v>Photo Sensor (All Lamps, 20% Hr. Reduction)</v>
          </cell>
          <cell r="C27">
            <v>1</v>
          </cell>
          <cell r="D27">
            <v>0.2</v>
          </cell>
        </row>
        <row r="28">
          <cell r="B28" t="str">
            <v>Photo Sensor (All Lamps, 40% Hr. Reduction)</v>
          </cell>
          <cell r="C28">
            <v>1</v>
          </cell>
          <cell r="D28">
            <v>0.4</v>
          </cell>
        </row>
        <row r="29">
          <cell r="B29" t="str">
            <v>Photo Sensor (All Lamps, 50% Hr. Reduction)</v>
          </cell>
          <cell r="C29">
            <v>1</v>
          </cell>
          <cell r="D29">
            <v>0.5</v>
          </cell>
        </row>
        <row r="30">
          <cell r="B30" t="str">
            <v>Photo Sensor (All Lamps, 60% Hr. Reduction)</v>
          </cell>
          <cell r="C30">
            <v>1</v>
          </cell>
          <cell r="D30">
            <v>0.6</v>
          </cell>
        </row>
        <row r="31">
          <cell r="B31" t="str">
            <v>Photo Sensor (All Lamps, 80% Hr. Reduction)</v>
          </cell>
          <cell r="C31">
            <v>1</v>
          </cell>
          <cell r="D31">
            <v>0.8</v>
          </cell>
        </row>
        <row r="32">
          <cell r="B32" t="str">
            <v>=================================</v>
          </cell>
          <cell r="C32" t="str">
            <v>#</v>
          </cell>
          <cell r="D32" t="str">
            <v>#</v>
          </cell>
        </row>
        <row r="33">
          <cell r="B33" t="str">
            <v>Continuous Daylighting Dimming Controls</v>
          </cell>
          <cell r="C33" t="str">
            <v>#</v>
          </cell>
          <cell r="D33" t="str">
            <v>#</v>
          </cell>
        </row>
        <row r="34">
          <cell r="B34" t="str">
            <v>=================================</v>
          </cell>
          <cell r="C34" t="str">
            <v>#</v>
          </cell>
          <cell r="D34" t="str">
            <v>#</v>
          </cell>
        </row>
        <row r="35">
          <cell r="B35" t="str">
            <v>Daylighting Dimming  (20% Avg. Savings)</v>
          </cell>
          <cell r="C35">
            <v>1</v>
          </cell>
          <cell r="D35">
            <v>0.2</v>
          </cell>
        </row>
        <row r="36">
          <cell r="B36" t="str">
            <v>Daylighting Dimming  (40% Avg. Savings)</v>
          </cell>
          <cell r="C36">
            <v>1</v>
          </cell>
          <cell r="D36">
            <v>0.4</v>
          </cell>
        </row>
        <row r="37">
          <cell r="B37" t="str">
            <v>Daylighting Dimming  (50% Avg. Savings)</v>
          </cell>
          <cell r="C37">
            <v>1</v>
          </cell>
          <cell r="D37">
            <v>0.5</v>
          </cell>
        </row>
        <row r="38">
          <cell r="B38" t="str">
            <v>Daylighting Dimming  (60% Avg. Savings)</v>
          </cell>
          <cell r="C38">
            <v>1</v>
          </cell>
          <cell r="D38">
            <v>0.6</v>
          </cell>
        </row>
        <row r="39">
          <cell r="B39" t="str">
            <v>Daylighting Dimming  (80% Avg. Savings)</v>
          </cell>
          <cell r="C39">
            <v>1</v>
          </cell>
          <cell r="D39">
            <v>0.8</v>
          </cell>
        </row>
        <row r="40">
          <cell r="B40" t="str">
            <v>=================================</v>
          </cell>
          <cell r="C40" t="str">
            <v>#</v>
          </cell>
          <cell r="D40" t="str">
            <v>#</v>
          </cell>
        </row>
        <row r="41">
          <cell r="B41" t="str">
            <v>Install Manual Timer</v>
          </cell>
          <cell r="C41" t="str">
            <v>#</v>
          </cell>
          <cell r="D41" t="str">
            <v>#</v>
          </cell>
        </row>
        <row r="42">
          <cell r="B42" t="str">
            <v>=================================</v>
          </cell>
          <cell r="C42" t="str">
            <v>#</v>
          </cell>
          <cell r="D42" t="str">
            <v>#</v>
          </cell>
        </row>
        <row r="43">
          <cell r="B43" t="str">
            <v>Manual Timer (20% Avg. Savings)</v>
          </cell>
          <cell r="C43">
            <v>1</v>
          </cell>
          <cell r="D43">
            <v>0.2</v>
          </cell>
        </row>
        <row r="44">
          <cell r="B44" t="str">
            <v>Manual Timer (40% Avg. Savings)</v>
          </cell>
          <cell r="C44">
            <v>1</v>
          </cell>
          <cell r="D44">
            <v>0.4</v>
          </cell>
        </row>
        <row r="45">
          <cell r="B45" t="str">
            <v>Manual Timer (50% Avg. Savings)</v>
          </cell>
          <cell r="C45">
            <v>1</v>
          </cell>
          <cell r="D45">
            <v>0.5</v>
          </cell>
        </row>
        <row r="46">
          <cell r="B46" t="str">
            <v>Manual Timer (60% Avg. Savings)</v>
          </cell>
          <cell r="C46">
            <v>1</v>
          </cell>
          <cell r="D46">
            <v>0.6</v>
          </cell>
        </row>
        <row r="47">
          <cell r="B47" t="str">
            <v>Manual Timer (80% Avg. Savings)</v>
          </cell>
          <cell r="C47">
            <v>1</v>
          </cell>
          <cell r="D47">
            <v>0.8</v>
          </cell>
        </row>
        <row r="48">
          <cell r="C48" t="str">
            <v>#</v>
          </cell>
          <cell r="D48" t="str">
            <v>#</v>
          </cell>
        </row>
        <row r="49">
          <cell r="B49" t="str">
            <v>=================================</v>
          </cell>
          <cell r="C49" t="str">
            <v>#</v>
          </cell>
          <cell r="D49" t="str">
            <v>#</v>
          </cell>
        </row>
        <row r="50">
          <cell r="B50" t="str">
            <v>ENTER OTHER LIGHTING CONTROL</v>
          </cell>
          <cell r="C50" t="str">
            <v>#</v>
          </cell>
          <cell r="D50" t="str">
            <v>#</v>
          </cell>
        </row>
        <row r="51">
          <cell r="B51" t="str">
            <v xml:space="preserve">COMBINATIONS ON THE </v>
          </cell>
          <cell r="C51" t="str">
            <v>#</v>
          </cell>
          <cell r="D51" t="str">
            <v>#</v>
          </cell>
        </row>
        <row r="52">
          <cell r="B52" t="str">
            <v>"Proposed Controls" SHEET</v>
          </cell>
          <cell r="C52" t="str">
            <v>#</v>
          </cell>
          <cell r="D52" t="str">
            <v>#</v>
          </cell>
        </row>
        <row r="53">
          <cell r="B53" t="str">
            <v>=================================</v>
          </cell>
          <cell r="C53" t="str">
            <v>#</v>
          </cell>
          <cell r="D53" t="str">
            <v>#</v>
          </cell>
        </row>
        <row r="58">
          <cell r="B58" t="str">
            <v>=================================</v>
          </cell>
        </row>
      </sheetData>
      <sheetData sheetId="7">
        <row r="3">
          <cell r="B3" t="str">
            <v xml:space="preserve">   Description of Proposed Lamp/Ballast Combination</v>
          </cell>
          <cell r="C3" t="str">
            <v>Input Watts</v>
          </cell>
          <cell r="D3" t="str">
            <v>Mean System Lumens</v>
          </cell>
          <cell r="E3" t="str">
            <v>Measure Category</v>
          </cell>
          <cell r="F3" t="str">
            <v>Rebate Amount</v>
          </cell>
          <cell r="G3" t="str">
            <v xml:space="preserve">        Notes / Alternate Suggestions </v>
          </cell>
          <cell r="I3" t="str">
            <v># lamps</v>
          </cell>
          <cell r="J3" t="str">
            <v xml:space="preserve">bf </v>
          </cell>
          <cell r="K3" t="str">
            <v>lumen lamp</v>
          </cell>
          <cell r="L3" t="str">
            <v>lumen maint</v>
          </cell>
          <cell r="M3" t="str">
            <v>ballast type</v>
          </cell>
          <cell r="N3" t="str">
            <v>BEF</v>
          </cell>
          <cell r="O3" t="str">
            <v>LPW</v>
          </cell>
          <cell r="Q3" t="str">
            <v>Rated Average Lamp Life (hrs/lamp for RS ballast @ 12 hrs/start)</v>
          </cell>
          <cell r="R3" t="str">
            <v>Lamp Cost ($/lamp)</v>
          </cell>
          <cell r="S3" t="str">
            <v>Lamp Change Labor (hours/lamp)</v>
          </cell>
        </row>
        <row r="5">
          <cell r="B5" t="str">
            <v>No recommendation (leave fixture as-is)</v>
          </cell>
          <cell r="C5">
            <v>-1</v>
          </cell>
          <cell r="D5">
            <v>-1</v>
          </cell>
          <cell r="E5" t="str">
            <v>N/A</v>
          </cell>
          <cell r="F5">
            <v>0</v>
          </cell>
          <cell r="G5" t="str">
            <v>Leave fixture as-is</v>
          </cell>
        </row>
        <row r="6">
          <cell r="B6" t="str">
            <v>Decommission (Permanently Remove)  Lighting Fixture</v>
          </cell>
          <cell r="C6">
            <v>0</v>
          </cell>
          <cell r="D6">
            <v>0</v>
          </cell>
          <cell r="E6" t="str">
            <v>N/A</v>
          </cell>
          <cell r="F6">
            <v>0</v>
          </cell>
          <cell r="G6" t="str">
            <v>Permanently remove unneeded light fixtures</v>
          </cell>
        </row>
        <row r="7">
          <cell r="B7" t="str">
            <v>=================================</v>
          </cell>
        </row>
        <row r="8">
          <cell r="B8" t="str">
            <v>HIGH PERFORMANCE T8 or NLO T5 LAMP and BALLAST (New Fixture or Retrofit)</v>
          </cell>
        </row>
        <row r="9">
          <cell r="B9" t="str">
            <v>=================================</v>
          </cell>
        </row>
        <row r="10">
          <cell r="B10" t="str">
            <v>32 Watt Lamps</v>
          </cell>
        </row>
        <row r="11">
          <cell r="B11" t="str">
            <v>----------------------------</v>
          </cell>
        </row>
        <row r="12">
          <cell r="B12" t="str">
            <v xml:space="preserve">High Performance T8,  1-4' lamp with Reduced Light Output ballast. </v>
          </cell>
          <cell r="C12">
            <v>25</v>
          </cell>
          <cell r="D12">
            <v>2297.1</v>
          </cell>
          <cell r="E12" t="str">
            <v>A1</v>
          </cell>
          <cell r="F12">
            <v>20</v>
          </cell>
          <cell r="G12" t="str">
            <v>Best Energy Efficient Choice</v>
          </cell>
          <cell r="I12">
            <v>1</v>
          </cell>
          <cell r="J12">
            <v>0.78</v>
          </cell>
          <cell r="K12">
            <v>3100</v>
          </cell>
          <cell r="L12">
            <v>0.95</v>
          </cell>
          <cell r="M12" t="str">
            <v>ISL</v>
          </cell>
          <cell r="N12">
            <v>3.12</v>
          </cell>
          <cell r="O12">
            <v>96.72</v>
          </cell>
          <cell r="Q12">
            <v>30000</v>
          </cell>
          <cell r="R12">
            <v>3.25</v>
          </cell>
          <cell r="S12">
            <v>0.09</v>
          </cell>
        </row>
        <row r="13">
          <cell r="B13" t="str">
            <v xml:space="preserve">High Performance T8,  1-4' lamp with Normal Light Output ballast.  </v>
          </cell>
          <cell r="C13">
            <v>28</v>
          </cell>
          <cell r="D13">
            <v>2591.6</v>
          </cell>
          <cell r="E13" t="str">
            <v>A1</v>
          </cell>
          <cell r="F13">
            <v>20</v>
          </cell>
          <cell r="G13" t="str">
            <v>Typical high performance recommendation</v>
          </cell>
          <cell r="I13">
            <v>1</v>
          </cell>
          <cell r="J13">
            <v>0.88</v>
          </cell>
          <cell r="K13">
            <v>3100</v>
          </cell>
          <cell r="L13">
            <v>0.95</v>
          </cell>
          <cell r="M13" t="str">
            <v>ISN</v>
          </cell>
          <cell r="N13">
            <v>3.1428571428571428</v>
          </cell>
          <cell r="O13">
            <v>97.428571428571431</v>
          </cell>
          <cell r="Q13">
            <v>30000</v>
          </cell>
          <cell r="R13">
            <v>3.25</v>
          </cell>
          <cell r="S13">
            <v>0.09</v>
          </cell>
        </row>
        <row r="14">
          <cell r="B14" t="str">
            <v xml:space="preserve">High Performance T8,  1-4' lamp with High Light Output ballast.  </v>
          </cell>
          <cell r="C14">
            <v>32</v>
          </cell>
          <cell r="D14">
            <v>2945</v>
          </cell>
          <cell r="E14" t="str">
            <v>A1</v>
          </cell>
          <cell r="F14">
            <v>20</v>
          </cell>
          <cell r="G14" t="str">
            <v>Best choice if de-lamping</v>
          </cell>
          <cell r="I14">
            <v>1</v>
          </cell>
          <cell r="J14">
            <v>1</v>
          </cell>
          <cell r="K14">
            <v>3100</v>
          </cell>
          <cell r="L14">
            <v>0.95</v>
          </cell>
          <cell r="M14" t="str">
            <v>PRS</v>
          </cell>
          <cell r="N14">
            <v>3.125</v>
          </cell>
          <cell r="O14">
            <v>96.875</v>
          </cell>
          <cell r="Q14">
            <v>30000</v>
          </cell>
          <cell r="R14">
            <v>3.25</v>
          </cell>
          <cell r="S14">
            <v>0.09</v>
          </cell>
        </row>
        <row r="15">
          <cell r="B15" t="str">
            <v>----------------------------</v>
          </cell>
        </row>
        <row r="16">
          <cell r="B16" t="str">
            <v xml:space="preserve">High Performance T8,  2-4' lamps with Reduced Light Output ballast.  </v>
          </cell>
          <cell r="C16">
            <v>48</v>
          </cell>
          <cell r="D16">
            <v>4594.2</v>
          </cell>
          <cell r="E16" t="str">
            <v>A2</v>
          </cell>
          <cell r="F16">
            <v>40</v>
          </cell>
          <cell r="G16" t="str">
            <v>Best Energy Efficient Choice</v>
          </cell>
          <cell r="I16">
            <v>2</v>
          </cell>
          <cell r="J16">
            <v>0.78</v>
          </cell>
          <cell r="K16">
            <v>3100</v>
          </cell>
          <cell r="L16">
            <v>0.95</v>
          </cell>
          <cell r="M16" t="str">
            <v>ISL</v>
          </cell>
          <cell r="N16">
            <v>1.625</v>
          </cell>
          <cell r="O16">
            <v>100.75</v>
          </cell>
          <cell r="Q16">
            <v>30000</v>
          </cell>
          <cell r="R16">
            <v>3.25</v>
          </cell>
          <cell r="S16">
            <v>0.09</v>
          </cell>
        </row>
        <row r="17">
          <cell r="B17" t="str">
            <v xml:space="preserve">High Performance T8,  2-4' lamps with Normal Light Output ballast.  </v>
          </cell>
          <cell r="C17">
            <v>55</v>
          </cell>
          <cell r="D17">
            <v>5183.2</v>
          </cell>
          <cell r="E17" t="str">
            <v>A2</v>
          </cell>
          <cell r="F17">
            <v>40</v>
          </cell>
          <cell r="G17" t="str">
            <v>Typical recommendation</v>
          </cell>
          <cell r="I17">
            <v>2</v>
          </cell>
          <cell r="J17">
            <v>0.88</v>
          </cell>
          <cell r="K17">
            <v>3100</v>
          </cell>
          <cell r="L17">
            <v>0.95</v>
          </cell>
          <cell r="M17" t="str">
            <v>ISN</v>
          </cell>
          <cell r="N17">
            <v>1.6</v>
          </cell>
          <cell r="O17">
            <v>99.2</v>
          </cell>
          <cell r="Q17">
            <v>30000</v>
          </cell>
          <cell r="R17">
            <v>3.25</v>
          </cell>
          <cell r="S17">
            <v>0.09</v>
          </cell>
        </row>
        <row r="18">
          <cell r="B18" t="str">
            <v>High Performance T8 Stairwell or Parking Lot Light,  2-4' lamps with Normal Light Output ballast and fixture-mounted occupancy sensor (reduce proposed operating hours accordingly)</v>
          </cell>
          <cell r="C18">
            <v>60</v>
          </cell>
          <cell r="D18">
            <v>5183.2</v>
          </cell>
          <cell r="E18" t="str">
            <v>A2/J1</v>
          </cell>
          <cell r="F18">
            <v>75</v>
          </cell>
          <cell r="G18" t="str">
            <v>Stairwell or parking garage new fixture  (includes a light that is on 24/7)</v>
          </cell>
          <cell r="I18">
            <v>2</v>
          </cell>
          <cell r="J18">
            <v>0.88</v>
          </cell>
          <cell r="K18">
            <v>3100</v>
          </cell>
          <cell r="L18">
            <v>0.95</v>
          </cell>
          <cell r="M18" t="str">
            <v>ISN</v>
          </cell>
          <cell r="N18">
            <v>1.4666666666666666</v>
          </cell>
          <cell r="O18">
            <v>90.933333333333337</v>
          </cell>
          <cell r="Q18">
            <v>30000</v>
          </cell>
          <cell r="R18">
            <v>3.25</v>
          </cell>
          <cell r="S18">
            <v>0.09</v>
          </cell>
        </row>
        <row r="19">
          <cell r="B19" t="str">
            <v xml:space="preserve">High Performance T8,  2-4' lamps with High Light Output ballast.  </v>
          </cell>
          <cell r="C19">
            <v>74</v>
          </cell>
          <cell r="D19">
            <v>6773.4999999999991</v>
          </cell>
          <cell r="E19" t="str">
            <v>A2</v>
          </cell>
          <cell r="F19">
            <v>40</v>
          </cell>
          <cell r="G19" t="str">
            <v>Best choice if de-lamping</v>
          </cell>
          <cell r="I19">
            <v>2</v>
          </cell>
          <cell r="J19">
            <v>1.1499999999999999</v>
          </cell>
          <cell r="K19">
            <v>3100</v>
          </cell>
          <cell r="L19">
            <v>0.95</v>
          </cell>
          <cell r="M19" t="str">
            <v>ISH</v>
          </cell>
          <cell r="N19">
            <v>1.5540540540540539</v>
          </cell>
          <cell r="O19">
            <v>96.35135135135134</v>
          </cell>
          <cell r="Q19">
            <v>30000</v>
          </cell>
          <cell r="R19">
            <v>3.25</v>
          </cell>
          <cell r="S19">
            <v>0.09</v>
          </cell>
        </row>
        <row r="20">
          <cell r="B20" t="str">
            <v>----------------------------</v>
          </cell>
        </row>
        <row r="21">
          <cell r="B21" t="str">
            <v>High Performance T8,  2-8' 54 Watt lamps with Normal Light Output ballast, 96 Watt typical, System efficacy &gt;95 lumens per Watt</v>
          </cell>
          <cell r="C21">
            <v>96</v>
          </cell>
          <cell r="D21">
            <v>9587.4</v>
          </cell>
          <cell r="E21" t="str">
            <v>A2</v>
          </cell>
          <cell r="F21">
            <v>40</v>
          </cell>
          <cell r="G21" t="str">
            <v>Various lamp ballast combinations are available, typical 96 watt ballast</v>
          </cell>
          <cell r="I21">
            <v>2</v>
          </cell>
          <cell r="J21">
            <v>0.87</v>
          </cell>
          <cell r="K21">
            <v>5800</v>
          </cell>
          <cell r="L21">
            <v>0.95</v>
          </cell>
          <cell r="M21" t="str">
            <v>ISN</v>
          </cell>
          <cell r="N21">
            <v>0.90625</v>
          </cell>
          <cell r="O21">
            <v>105.125</v>
          </cell>
          <cell r="Q21">
            <v>24000</v>
          </cell>
          <cell r="R21">
            <v>8.99</v>
          </cell>
          <cell r="S21">
            <v>0.09</v>
          </cell>
        </row>
        <row r="22">
          <cell r="B22" t="str">
            <v>High Performance T8,  2-8' lamps with Normal Light Output ballast, 110 Watt Max, System efficacy &gt;95 lumens per Watt</v>
          </cell>
          <cell r="C22">
            <v>110</v>
          </cell>
          <cell r="D22">
            <v>10199.199999999999</v>
          </cell>
          <cell r="E22" t="str">
            <v>A2</v>
          </cell>
          <cell r="F22">
            <v>40</v>
          </cell>
          <cell r="G22" t="str">
            <v>Various lamp ballast combinations are available, typical 110 watt ballast</v>
          </cell>
          <cell r="I22">
            <v>2</v>
          </cell>
          <cell r="J22">
            <v>0.88</v>
          </cell>
          <cell r="K22">
            <v>6100</v>
          </cell>
          <cell r="L22">
            <v>0.95</v>
          </cell>
          <cell r="M22" t="str">
            <v>ISN</v>
          </cell>
          <cell r="N22">
            <v>0.8</v>
          </cell>
          <cell r="O22">
            <v>97.6</v>
          </cell>
          <cell r="Q22">
            <v>24000</v>
          </cell>
          <cell r="R22">
            <v>8.99</v>
          </cell>
          <cell r="S22">
            <v>0.09</v>
          </cell>
        </row>
        <row r="23">
          <cell r="B23" t="str">
            <v>----------------------------</v>
          </cell>
        </row>
        <row r="24">
          <cell r="B24" t="str">
            <v xml:space="preserve">High Performance T8,  3-4' lamps with Reduced Light Output ballast.  </v>
          </cell>
          <cell r="C24">
            <v>72</v>
          </cell>
          <cell r="D24">
            <v>6802.95</v>
          </cell>
          <cell r="E24" t="str">
            <v>A2</v>
          </cell>
          <cell r="F24">
            <v>40</v>
          </cell>
          <cell r="G24" t="str">
            <v>Best Energy Efficient Choice</v>
          </cell>
          <cell r="I24">
            <v>3</v>
          </cell>
          <cell r="J24">
            <v>0.77</v>
          </cell>
          <cell r="K24">
            <v>3100</v>
          </cell>
          <cell r="L24">
            <v>0.95</v>
          </cell>
          <cell r="M24" t="str">
            <v>ISL</v>
          </cell>
          <cell r="N24">
            <v>1.0694444444444444</v>
          </cell>
          <cell r="O24">
            <v>99.458333333333329</v>
          </cell>
          <cell r="Q24">
            <v>30000</v>
          </cell>
          <cell r="R24">
            <v>3.25</v>
          </cell>
          <cell r="S24">
            <v>0.09</v>
          </cell>
        </row>
        <row r="25">
          <cell r="B25" t="str">
            <v xml:space="preserve">High Performance T8,  3-4' lamps with Normal Light Output ballast.  </v>
          </cell>
          <cell r="C25">
            <v>81</v>
          </cell>
          <cell r="D25">
            <v>7686.45</v>
          </cell>
          <cell r="E25" t="str">
            <v>A2</v>
          </cell>
          <cell r="F25">
            <v>40</v>
          </cell>
          <cell r="G25" t="str">
            <v>Typical recommendation</v>
          </cell>
          <cell r="I25">
            <v>3</v>
          </cell>
          <cell r="J25">
            <v>0.87</v>
          </cell>
          <cell r="K25">
            <v>3100</v>
          </cell>
          <cell r="L25">
            <v>0.95</v>
          </cell>
          <cell r="M25" t="str">
            <v>ISN</v>
          </cell>
          <cell r="N25">
            <v>1.0740740740740742</v>
          </cell>
          <cell r="O25">
            <v>99.888888888888886</v>
          </cell>
          <cell r="Q25">
            <v>30000</v>
          </cell>
          <cell r="R25">
            <v>3.25</v>
          </cell>
          <cell r="S25">
            <v>0.09</v>
          </cell>
        </row>
        <row r="26">
          <cell r="B26" t="str">
            <v xml:space="preserve">High Performance T8,  3-4' lamps with High Light Output ballast.  </v>
          </cell>
          <cell r="C26">
            <v>110</v>
          </cell>
          <cell r="D26">
            <v>10160.25</v>
          </cell>
          <cell r="E26" t="str">
            <v>A2</v>
          </cell>
          <cell r="F26">
            <v>40</v>
          </cell>
          <cell r="G26" t="str">
            <v>Best choice if de-lamping</v>
          </cell>
          <cell r="I26">
            <v>3</v>
          </cell>
          <cell r="J26">
            <v>1.1499999999999999</v>
          </cell>
          <cell r="K26">
            <v>3100</v>
          </cell>
          <cell r="L26">
            <v>0.95</v>
          </cell>
          <cell r="M26" t="str">
            <v>ISH</v>
          </cell>
          <cell r="N26">
            <v>1.0454545454545454</v>
          </cell>
          <cell r="O26">
            <v>97.227272727272734</v>
          </cell>
          <cell r="Q26">
            <v>30000</v>
          </cell>
          <cell r="R26">
            <v>3.25</v>
          </cell>
          <cell r="S26">
            <v>0.09</v>
          </cell>
        </row>
        <row r="27">
          <cell r="B27" t="str">
            <v>----------------------------</v>
          </cell>
        </row>
        <row r="28">
          <cell r="B28" t="str">
            <v xml:space="preserve">High Performance T8,  4-4' lamps with Reduced Light Output ballast.  </v>
          </cell>
          <cell r="C28">
            <v>95</v>
          </cell>
          <cell r="D28">
            <v>9070.6</v>
          </cell>
          <cell r="E28" t="str">
            <v>A2</v>
          </cell>
          <cell r="F28">
            <v>40</v>
          </cell>
          <cell r="G28" t="str">
            <v>Best Energy Efficient Choice</v>
          </cell>
          <cell r="I28">
            <v>4</v>
          </cell>
          <cell r="J28">
            <v>0.77</v>
          </cell>
          <cell r="K28">
            <v>3100</v>
          </cell>
          <cell r="L28">
            <v>0.95</v>
          </cell>
          <cell r="M28" t="str">
            <v>ISL</v>
          </cell>
          <cell r="N28">
            <v>0.81052631578947365</v>
          </cell>
          <cell r="O28">
            <v>100.50526315789473</v>
          </cell>
          <cell r="Q28">
            <v>30000</v>
          </cell>
          <cell r="R28">
            <v>3.25</v>
          </cell>
          <cell r="S28">
            <v>0.09</v>
          </cell>
        </row>
        <row r="29">
          <cell r="B29" t="str">
            <v xml:space="preserve">High Performance T8,  4-4' lamps with Normal Light Output ballast.  </v>
          </cell>
          <cell r="C29">
            <v>108</v>
          </cell>
          <cell r="D29">
            <v>10248.6</v>
          </cell>
          <cell r="E29" t="str">
            <v>A2</v>
          </cell>
          <cell r="F29">
            <v>40</v>
          </cell>
          <cell r="G29" t="str">
            <v>Typical recommendation</v>
          </cell>
          <cell r="I29">
            <v>4</v>
          </cell>
          <cell r="J29">
            <v>0.87</v>
          </cell>
          <cell r="K29">
            <v>3100</v>
          </cell>
          <cell r="L29">
            <v>0.95</v>
          </cell>
          <cell r="M29" t="str">
            <v>ISN</v>
          </cell>
          <cell r="N29">
            <v>0.80555555555555558</v>
          </cell>
          <cell r="O29">
            <v>99.888888888888886</v>
          </cell>
          <cell r="Q29">
            <v>30000</v>
          </cell>
          <cell r="R29">
            <v>3.25</v>
          </cell>
          <cell r="S29">
            <v>0.09</v>
          </cell>
        </row>
        <row r="30">
          <cell r="B30" t="str">
            <v xml:space="preserve">High Performance T8,  4-4' lamps with High Light Output ballast.  </v>
          </cell>
          <cell r="C30">
            <v>148</v>
          </cell>
          <cell r="D30">
            <v>13546.999999999998</v>
          </cell>
          <cell r="E30" t="str">
            <v>A2</v>
          </cell>
          <cell r="F30">
            <v>40</v>
          </cell>
          <cell r="G30" t="str">
            <v>High-Bay applications</v>
          </cell>
          <cell r="I30">
            <v>4</v>
          </cell>
          <cell r="J30">
            <v>1.1499999999999999</v>
          </cell>
          <cell r="K30">
            <v>3100</v>
          </cell>
          <cell r="L30">
            <v>0.95</v>
          </cell>
          <cell r="M30" t="str">
            <v>ISH</v>
          </cell>
          <cell r="N30">
            <v>0.77702702702702697</v>
          </cell>
          <cell r="O30">
            <v>96.35135135135134</v>
          </cell>
          <cell r="Q30">
            <v>30000</v>
          </cell>
          <cell r="R30">
            <v>3.25</v>
          </cell>
          <cell r="S30">
            <v>0.09</v>
          </cell>
        </row>
        <row r="31">
          <cell r="B31" t="str">
            <v>----------------------------</v>
          </cell>
        </row>
        <row r="32">
          <cell r="B32" t="str">
            <v>25 Watt Lamps</v>
          </cell>
        </row>
        <row r="33">
          <cell r="B33" t="str">
            <v>----------------------------</v>
          </cell>
        </row>
        <row r="34">
          <cell r="B34" t="str">
            <v xml:space="preserve">High Performance T8,  2-4' 25 Watt lamps with Reduced Light Output ballast.  </v>
          </cell>
          <cell r="C34">
            <v>38</v>
          </cell>
          <cell r="D34">
            <v>3474.24</v>
          </cell>
          <cell r="E34" t="str">
            <v>A2</v>
          </cell>
          <cell r="F34">
            <v>40</v>
          </cell>
          <cell r="G34" t="str">
            <v>Best Energy Efficient Choice</v>
          </cell>
          <cell r="I34">
            <v>2</v>
          </cell>
          <cell r="J34">
            <v>0.77</v>
          </cell>
          <cell r="K34">
            <v>2400</v>
          </cell>
          <cell r="L34">
            <v>0.94</v>
          </cell>
          <cell r="M34" t="str">
            <v>ISL</v>
          </cell>
          <cell r="N34">
            <v>2.0263157894736841</v>
          </cell>
          <cell r="O34">
            <v>97.263157894736835</v>
          </cell>
          <cell r="Q34">
            <v>30000</v>
          </cell>
          <cell r="R34">
            <v>3.25</v>
          </cell>
          <cell r="S34">
            <v>0.09</v>
          </cell>
        </row>
        <row r="35">
          <cell r="B35" t="str">
            <v xml:space="preserve">High Performance T8,  3-4' 25 Watt lamps with Reduced Light Output ballast.  </v>
          </cell>
          <cell r="C35">
            <v>58</v>
          </cell>
          <cell r="D35">
            <v>5211.3599999999997</v>
          </cell>
          <cell r="E35" t="str">
            <v>A2</v>
          </cell>
          <cell r="F35">
            <v>40</v>
          </cell>
          <cell r="G35" t="str">
            <v>Best recommendation if de-lamping is not an option (i.e. deep cell parabolic fixtures)</v>
          </cell>
          <cell r="I35">
            <v>3</v>
          </cell>
          <cell r="J35">
            <v>0.77</v>
          </cell>
          <cell r="K35">
            <v>2400</v>
          </cell>
          <cell r="L35">
            <v>0.94</v>
          </cell>
          <cell r="M35" t="str">
            <v>ISL</v>
          </cell>
          <cell r="N35">
            <v>1.3275862068965518</v>
          </cell>
          <cell r="O35">
            <v>95.58620689655173</v>
          </cell>
          <cell r="Q35">
            <v>30000</v>
          </cell>
          <cell r="R35">
            <v>3.25</v>
          </cell>
          <cell r="S35">
            <v>0.09</v>
          </cell>
        </row>
        <row r="36">
          <cell r="B36" t="str">
            <v xml:space="preserve">High Performance T8,  4-4' 25 Watt lamps with Reduced Light Output ballast.  </v>
          </cell>
          <cell r="C36">
            <v>77</v>
          </cell>
          <cell r="D36">
            <v>6948.48</v>
          </cell>
          <cell r="E36" t="str">
            <v>A2</v>
          </cell>
          <cell r="F36">
            <v>40</v>
          </cell>
          <cell r="G36" t="str">
            <v>Best recommendation if de-lamping is not an option (i.e. deep cell parabolic fixtures)</v>
          </cell>
          <cell r="I36">
            <v>4</v>
          </cell>
          <cell r="J36">
            <v>0.77</v>
          </cell>
          <cell r="K36">
            <v>2400</v>
          </cell>
          <cell r="L36">
            <v>0.94</v>
          </cell>
          <cell r="M36" t="str">
            <v>ISL</v>
          </cell>
          <cell r="N36">
            <v>1</v>
          </cell>
          <cell r="O36">
            <v>96</v>
          </cell>
          <cell r="Q36">
            <v>30000</v>
          </cell>
          <cell r="R36">
            <v>3.25</v>
          </cell>
          <cell r="S36">
            <v>0.09</v>
          </cell>
        </row>
        <row r="37">
          <cell r="B37" t="str">
            <v>----------------------------</v>
          </cell>
        </row>
        <row r="38">
          <cell r="B38" t="str">
            <v>T5 Normal Light Output Lamps</v>
          </cell>
        </row>
        <row r="39">
          <cell r="B39" t="str">
            <v>----------------------------</v>
          </cell>
        </row>
        <row r="40">
          <cell r="B40" t="str">
            <v>New High Performance NLO T5, 2-4'  lamps with Normal Light Output ballast (New Fixture or Retrofit)</v>
          </cell>
          <cell r="C40">
            <v>58</v>
          </cell>
          <cell r="D40">
            <v>5234.5</v>
          </cell>
          <cell r="E40" t="str">
            <v>A2</v>
          </cell>
          <cell r="F40">
            <v>40</v>
          </cell>
          <cell r="G40" t="str">
            <v>RT5 or equivalent new fixture</v>
          </cell>
          <cell r="I40">
            <v>2</v>
          </cell>
          <cell r="J40">
            <v>0.95</v>
          </cell>
          <cell r="K40">
            <v>2900</v>
          </cell>
          <cell r="L40">
            <v>0.95</v>
          </cell>
          <cell r="M40" t="str">
            <v>ISN</v>
          </cell>
          <cell r="N40">
            <v>1.6379310344827587</v>
          </cell>
          <cell r="O40">
            <v>95</v>
          </cell>
          <cell r="Q40">
            <v>24000</v>
          </cell>
          <cell r="R40">
            <v>6</v>
          </cell>
          <cell r="S40">
            <v>0.09</v>
          </cell>
        </row>
        <row r="41">
          <cell r="B41" t="str">
            <v>=================================</v>
          </cell>
        </row>
        <row r="42">
          <cell r="B42" t="str">
            <v>RETROFIT HO/VHO T12 FIXTURES to T8 LAMPS &amp; BALLASTS</v>
          </cell>
        </row>
        <row r="43">
          <cell r="B43" t="str">
            <v>=================================</v>
          </cell>
        </row>
        <row r="44">
          <cell r="B44" t="str">
            <v>4 Lamp T8 4' with Normal Light Output ballast (Upgrade from T12 HO/VHO)</v>
          </cell>
          <cell r="C44">
            <v>108</v>
          </cell>
          <cell r="D44">
            <v>13665</v>
          </cell>
          <cell r="E44" t="str">
            <v>K2</v>
          </cell>
          <cell r="F44">
            <v>80</v>
          </cell>
          <cell r="G44" t="str">
            <v>Use 2-2 lamp HLO ballasts only if absolutely necessary</v>
          </cell>
          <cell r="I44">
            <v>4</v>
          </cell>
          <cell r="J44">
            <v>0.87</v>
          </cell>
          <cell r="K44">
            <v>3100</v>
          </cell>
          <cell r="L44">
            <v>0.95</v>
          </cell>
          <cell r="M44" t="str">
            <v>ISH</v>
          </cell>
          <cell r="N44">
            <v>0.80555555555555558</v>
          </cell>
          <cell r="O44">
            <v>99.888888888888886</v>
          </cell>
          <cell r="Q44">
            <v>30000</v>
          </cell>
          <cell r="R44">
            <v>3.25</v>
          </cell>
          <cell r="S44">
            <v>0.09</v>
          </cell>
        </row>
        <row r="45">
          <cell r="B45" t="str">
            <v>4 Lamp T8 4' with High Light Output ballast (Upgrade from T12 HO/VHO)</v>
          </cell>
          <cell r="C45">
            <v>148</v>
          </cell>
          <cell r="D45">
            <v>13546.999999999998</v>
          </cell>
          <cell r="E45" t="str">
            <v>K2</v>
          </cell>
          <cell r="F45">
            <v>80</v>
          </cell>
          <cell r="G45" t="str">
            <v>Use 2-2 lamp HLO ballasts only if absolutely necessary</v>
          </cell>
          <cell r="I45">
            <v>4</v>
          </cell>
          <cell r="J45">
            <v>1.1499999999999999</v>
          </cell>
          <cell r="K45">
            <v>3100</v>
          </cell>
          <cell r="L45">
            <v>0.95</v>
          </cell>
          <cell r="M45" t="str">
            <v>ISH</v>
          </cell>
          <cell r="N45">
            <v>0.77702702702702697</v>
          </cell>
          <cell r="O45">
            <v>96.35135135135134</v>
          </cell>
          <cell r="Q45">
            <v>30000</v>
          </cell>
          <cell r="R45">
            <v>3.25</v>
          </cell>
          <cell r="S45">
            <v>0.09</v>
          </cell>
        </row>
        <row r="46">
          <cell r="B46" t="str">
            <v>6 Lamp T8 4' with Reduced Light Output ballast (Upgrade from 8' T12)</v>
          </cell>
          <cell r="C46">
            <v>143</v>
          </cell>
          <cell r="D46">
            <v>15372.9</v>
          </cell>
          <cell r="E46" t="str">
            <v>K2</v>
          </cell>
          <cell r="F46">
            <v>80</v>
          </cell>
          <cell r="G46" t="str">
            <v>Use 2-2 lamp HLO ballasts only if absolutely necessary</v>
          </cell>
          <cell r="I46">
            <v>6</v>
          </cell>
          <cell r="J46">
            <v>0.87</v>
          </cell>
          <cell r="K46">
            <v>3100</v>
          </cell>
          <cell r="L46">
            <v>0.95</v>
          </cell>
          <cell r="M46" t="str">
            <v>ISH</v>
          </cell>
          <cell r="N46">
            <v>0.60839160839160844</v>
          </cell>
          <cell r="O46">
            <v>113.16083916083916</v>
          </cell>
          <cell r="Q46">
            <v>30000</v>
          </cell>
          <cell r="R46">
            <v>3.25</v>
          </cell>
          <cell r="S46">
            <v>0.09</v>
          </cell>
        </row>
        <row r="47">
          <cell r="B47" t="str">
            <v>6 Lamp T8 4' with Normal Light Output ballast (Upgrade from T12 HO/VHO)</v>
          </cell>
          <cell r="C47">
            <v>162</v>
          </cell>
          <cell r="D47">
            <v>15372.9</v>
          </cell>
          <cell r="E47" t="str">
            <v>K2</v>
          </cell>
          <cell r="F47">
            <v>80</v>
          </cell>
          <cell r="G47" t="str">
            <v>Use 2-2 lamp HLO ballasts only if absolutely necessary</v>
          </cell>
          <cell r="I47">
            <v>6</v>
          </cell>
          <cell r="J47">
            <v>0.87</v>
          </cell>
          <cell r="K47">
            <v>3100</v>
          </cell>
          <cell r="L47">
            <v>0.95</v>
          </cell>
          <cell r="M47" t="str">
            <v>ISH</v>
          </cell>
          <cell r="N47">
            <v>0.53703703703703709</v>
          </cell>
          <cell r="O47">
            <v>99.888888888888886</v>
          </cell>
          <cell r="Q47">
            <v>30000</v>
          </cell>
          <cell r="R47">
            <v>3.25</v>
          </cell>
          <cell r="S47">
            <v>0.09</v>
          </cell>
        </row>
        <row r="48">
          <cell r="B48" t="str">
            <v>6 Lamp T8 4' with High Light Output ballast (Upgrade from T12 HO/VHO)</v>
          </cell>
          <cell r="C48">
            <v>222</v>
          </cell>
          <cell r="D48">
            <v>21027.3</v>
          </cell>
          <cell r="E48" t="str">
            <v>K2</v>
          </cell>
          <cell r="F48">
            <v>80</v>
          </cell>
          <cell r="G48" t="str">
            <v xml:space="preserve">Use 2-4 lamp HLO ballasts only if absolutely necessary </v>
          </cell>
          <cell r="I48">
            <v>6</v>
          </cell>
          <cell r="J48">
            <v>1.19</v>
          </cell>
          <cell r="K48">
            <v>3100</v>
          </cell>
          <cell r="L48">
            <v>0.95</v>
          </cell>
          <cell r="M48" t="str">
            <v>ISH</v>
          </cell>
          <cell r="N48">
            <v>0.536036036036036</v>
          </cell>
          <cell r="O48">
            <v>99.702702702702709</v>
          </cell>
          <cell r="Q48">
            <v>30000</v>
          </cell>
          <cell r="R48">
            <v>3.25</v>
          </cell>
          <cell r="S48">
            <v>0.09</v>
          </cell>
        </row>
        <row r="49">
          <cell r="B49" t="str">
            <v>8 Lamp T8 4' with Normal Light Output ballast (Upgrade from T12 HO/VHO)</v>
          </cell>
          <cell r="C49">
            <v>216</v>
          </cell>
          <cell r="D49">
            <v>20497.2</v>
          </cell>
          <cell r="E49" t="str">
            <v>K2</v>
          </cell>
          <cell r="F49">
            <v>80</v>
          </cell>
          <cell r="G49" t="str">
            <v>Use 2-2 lamp HLO ballasts only if absolutely necessary</v>
          </cell>
          <cell r="I49">
            <v>8</v>
          </cell>
          <cell r="J49">
            <v>0.87</v>
          </cell>
          <cell r="K49">
            <v>3100</v>
          </cell>
          <cell r="L49">
            <v>0.95</v>
          </cell>
          <cell r="M49" t="str">
            <v>ISH</v>
          </cell>
          <cell r="N49">
            <v>0.40277777777777779</v>
          </cell>
          <cell r="O49">
            <v>99.888888888888886</v>
          </cell>
          <cell r="Q49">
            <v>30000</v>
          </cell>
          <cell r="R49">
            <v>3.25</v>
          </cell>
          <cell r="S49">
            <v>0.09</v>
          </cell>
        </row>
        <row r="50">
          <cell r="B50" t="str">
            <v>8 Lamp T8 4' with High Light Output ballast (Upgrade from T12 HO/VHO)</v>
          </cell>
          <cell r="C50">
            <v>296</v>
          </cell>
          <cell r="D50">
            <v>27093.999999999996</v>
          </cell>
          <cell r="E50" t="str">
            <v>K2</v>
          </cell>
          <cell r="F50">
            <v>80</v>
          </cell>
          <cell r="G50" t="str">
            <v>Use 2-2 lamp HLO ballasts only if absolutely necessary</v>
          </cell>
          <cell r="I50">
            <v>8</v>
          </cell>
          <cell r="J50">
            <v>1.1499999999999999</v>
          </cell>
          <cell r="K50">
            <v>3100</v>
          </cell>
          <cell r="L50">
            <v>0.95</v>
          </cell>
          <cell r="M50" t="str">
            <v>ISH</v>
          </cell>
          <cell r="N50">
            <v>0.38851351351351349</v>
          </cell>
          <cell r="O50">
            <v>96.35135135135134</v>
          </cell>
          <cell r="Q50">
            <v>30000</v>
          </cell>
          <cell r="R50">
            <v>3.25</v>
          </cell>
          <cell r="S50">
            <v>0.09</v>
          </cell>
        </row>
        <row r="51">
          <cell r="B51" t="str">
            <v>=================================</v>
          </cell>
        </row>
        <row r="52">
          <cell r="B52" t="str">
            <v>HIGH OUTPUT (high-bay) FLUORESCENT  (Install New Fixture)</v>
          </cell>
        </row>
        <row r="53">
          <cell r="B53" t="str">
            <v>=================================</v>
          </cell>
        </row>
        <row r="54">
          <cell r="B54" t="str">
            <v>High Output T5 New Fixtures</v>
          </cell>
        </row>
        <row r="55">
          <cell r="B55" t="str">
            <v>----------------------------</v>
          </cell>
        </row>
        <row r="56">
          <cell r="B56" t="str">
            <v>1 Lamp T5 High Output (high bay) New Fixture</v>
          </cell>
          <cell r="C56">
            <v>62</v>
          </cell>
          <cell r="D56">
            <v>4750</v>
          </cell>
          <cell r="E56" t="str">
            <v>H1</v>
          </cell>
          <cell r="F56">
            <v>120</v>
          </cell>
          <cell r="I56">
            <v>1</v>
          </cell>
          <cell r="J56">
            <v>1</v>
          </cell>
          <cell r="K56">
            <v>5000</v>
          </cell>
          <cell r="L56">
            <v>0.95</v>
          </cell>
          <cell r="M56" t="str">
            <v>PRS</v>
          </cell>
          <cell r="N56">
            <v>1.6129032258064515</v>
          </cell>
          <cell r="O56">
            <v>80.645161290322577</v>
          </cell>
          <cell r="Q56">
            <v>20000</v>
          </cell>
          <cell r="R56">
            <v>6</v>
          </cell>
          <cell r="S56">
            <v>0.09</v>
          </cell>
        </row>
        <row r="57">
          <cell r="B57" t="str">
            <v>2 Lamp T5 High Output (high bay) New Fixture</v>
          </cell>
          <cell r="C57">
            <v>118</v>
          </cell>
          <cell r="D57">
            <v>9500</v>
          </cell>
          <cell r="E57" t="str">
            <v>H1</v>
          </cell>
          <cell r="F57">
            <v>120</v>
          </cell>
          <cell r="I57">
            <v>2</v>
          </cell>
          <cell r="J57">
            <v>1</v>
          </cell>
          <cell r="K57">
            <v>5000</v>
          </cell>
          <cell r="L57">
            <v>0.95</v>
          </cell>
          <cell r="M57" t="str">
            <v>PRS</v>
          </cell>
          <cell r="N57">
            <v>0.84745762711864403</v>
          </cell>
          <cell r="O57">
            <v>84.745762711864401</v>
          </cell>
          <cell r="Q57">
            <v>20000</v>
          </cell>
          <cell r="R57">
            <v>6</v>
          </cell>
          <cell r="S57">
            <v>0.09</v>
          </cell>
        </row>
        <row r="58">
          <cell r="B58" t="str">
            <v>2 Lamp T5 High Output (high bay) New Fixture with fixture-mounted occupancy sensor (reduce proposed operating hours accordingly)</v>
          </cell>
          <cell r="C58">
            <v>118</v>
          </cell>
          <cell r="D58">
            <v>9500</v>
          </cell>
          <cell r="E58" t="str">
            <v>H1/J1</v>
          </cell>
          <cell r="F58">
            <v>155</v>
          </cell>
          <cell r="I58">
            <v>2</v>
          </cell>
          <cell r="J58">
            <v>1</v>
          </cell>
          <cell r="K58">
            <v>5000</v>
          </cell>
          <cell r="L58">
            <v>0.95</v>
          </cell>
          <cell r="M58" t="str">
            <v>PRS</v>
          </cell>
          <cell r="N58">
            <v>0.84745762711864403</v>
          </cell>
          <cell r="O58">
            <v>84.745762711864401</v>
          </cell>
          <cell r="Q58">
            <v>20000</v>
          </cell>
          <cell r="R58">
            <v>6</v>
          </cell>
          <cell r="S58">
            <v>0.09</v>
          </cell>
        </row>
        <row r="59">
          <cell r="B59" t="str">
            <v>3 Lamp T5 High Output (high bay) New Fixture</v>
          </cell>
          <cell r="C59">
            <v>179</v>
          </cell>
          <cell r="D59">
            <v>14250</v>
          </cell>
          <cell r="E59" t="str">
            <v>H2</v>
          </cell>
          <cell r="F59">
            <v>140</v>
          </cell>
          <cell r="I59">
            <v>3</v>
          </cell>
          <cell r="J59">
            <v>1</v>
          </cell>
          <cell r="K59">
            <v>5000</v>
          </cell>
          <cell r="L59">
            <v>0.95</v>
          </cell>
          <cell r="M59" t="str">
            <v>PRS</v>
          </cell>
          <cell r="N59">
            <v>0.55865921787709494</v>
          </cell>
          <cell r="O59">
            <v>83.798882681564251</v>
          </cell>
          <cell r="Q59">
            <v>20000</v>
          </cell>
          <cell r="R59">
            <v>6</v>
          </cell>
          <cell r="S59">
            <v>0.09</v>
          </cell>
        </row>
        <row r="60">
          <cell r="B60" t="str">
            <v>3 Lamp T5 High Output (high bay) New Fixture with fixture-mounted occupancy sensor (reduce proposed operating hours accordingly)</v>
          </cell>
          <cell r="C60">
            <v>179</v>
          </cell>
          <cell r="D60">
            <v>14250</v>
          </cell>
          <cell r="E60" t="str">
            <v>H2/J1</v>
          </cell>
          <cell r="F60">
            <v>175</v>
          </cell>
          <cell r="I60">
            <v>3</v>
          </cell>
          <cell r="J60">
            <v>1</v>
          </cell>
          <cell r="K60">
            <v>5000</v>
          </cell>
          <cell r="L60">
            <v>0.95</v>
          </cell>
          <cell r="M60" t="str">
            <v>PRS</v>
          </cell>
          <cell r="N60">
            <v>0.55865921787709494</v>
          </cell>
          <cell r="O60">
            <v>83.798882681564251</v>
          </cell>
          <cell r="Q60">
            <v>20000</v>
          </cell>
          <cell r="R60">
            <v>6</v>
          </cell>
          <cell r="S60">
            <v>0.09</v>
          </cell>
        </row>
        <row r="61">
          <cell r="B61" t="str">
            <v>4 Lamp T5 High Output (high bay) New Fixture</v>
          </cell>
          <cell r="C61">
            <v>234</v>
          </cell>
          <cell r="D61">
            <v>19000</v>
          </cell>
          <cell r="E61" t="str">
            <v>H3</v>
          </cell>
          <cell r="F61">
            <v>160</v>
          </cell>
          <cell r="I61">
            <v>4</v>
          </cell>
          <cell r="J61">
            <v>1</v>
          </cell>
          <cell r="K61">
            <v>5000</v>
          </cell>
          <cell r="L61">
            <v>0.95</v>
          </cell>
          <cell r="M61" t="str">
            <v>PRS</v>
          </cell>
          <cell r="N61">
            <v>0.42735042735042733</v>
          </cell>
          <cell r="O61">
            <v>85.470085470085465</v>
          </cell>
          <cell r="Q61">
            <v>20000</v>
          </cell>
          <cell r="R61">
            <v>6</v>
          </cell>
          <cell r="S61">
            <v>0.09</v>
          </cell>
        </row>
        <row r="62">
          <cell r="B62" t="str">
            <v>4 Lamp T5 High Output (high-bay) New Fixture with fixture-mounted occupancy sensor (reduce proposed operating hours accordingly)</v>
          </cell>
          <cell r="C62">
            <v>234</v>
          </cell>
          <cell r="D62">
            <v>19000</v>
          </cell>
          <cell r="E62" t="str">
            <v>H3/J2</v>
          </cell>
          <cell r="F62">
            <v>220</v>
          </cell>
          <cell r="G62">
            <v>0.11211676451402479</v>
          </cell>
          <cell r="I62">
            <v>4</v>
          </cell>
          <cell r="J62">
            <v>1</v>
          </cell>
          <cell r="K62">
            <v>5000</v>
          </cell>
          <cell r="L62">
            <v>0.95</v>
          </cell>
          <cell r="M62" t="str">
            <v>PRS</v>
          </cell>
          <cell r="N62">
            <v>0.42735042735042733</v>
          </cell>
          <cell r="O62">
            <v>85.470085470085465</v>
          </cell>
          <cell r="Q62">
            <v>20000</v>
          </cell>
          <cell r="R62">
            <v>6</v>
          </cell>
          <cell r="S62">
            <v>0.09</v>
          </cell>
        </row>
        <row r="63">
          <cell r="B63" t="str">
            <v>5 Lamp T5 High Output (high bay) New Fixture</v>
          </cell>
          <cell r="C63">
            <v>298</v>
          </cell>
          <cell r="D63">
            <v>23750</v>
          </cell>
          <cell r="E63" t="str">
            <v>H4</v>
          </cell>
          <cell r="F63">
            <v>180</v>
          </cell>
          <cell r="I63">
            <v>5</v>
          </cell>
          <cell r="J63">
            <v>1</v>
          </cell>
          <cell r="K63">
            <v>5000</v>
          </cell>
          <cell r="L63">
            <v>0.95</v>
          </cell>
          <cell r="M63" t="str">
            <v>PRS</v>
          </cell>
          <cell r="N63">
            <v>0.33557046979865773</v>
          </cell>
          <cell r="O63">
            <v>21.05263157894737</v>
          </cell>
          <cell r="Q63">
            <v>20000</v>
          </cell>
          <cell r="R63">
            <v>6</v>
          </cell>
          <cell r="S63">
            <v>0.09</v>
          </cell>
        </row>
        <row r="64">
          <cell r="B64" t="str">
            <v>6 Lamp T5 High Output (high bay) New Fixture</v>
          </cell>
          <cell r="C64">
            <v>352</v>
          </cell>
          <cell r="D64">
            <v>28500</v>
          </cell>
          <cell r="E64" t="str">
            <v>H4</v>
          </cell>
          <cell r="F64">
            <v>180</v>
          </cell>
          <cell r="I64">
            <v>6</v>
          </cell>
          <cell r="J64">
            <v>1</v>
          </cell>
          <cell r="K64">
            <v>5000</v>
          </cell>
          <cell r="L64">
            <v>0.95</v>
          </cell>
          <cell r="M64" t="str">
            <v>PRS</v>
          </cell>
          <cell r="N64">
            <v>0.28409090909090912</v>
          </cell>
          <cell r="O64">
            <v>17.543859649122808</v>
          </cell>
          <cell r="Q64">
            <v>20000</v>
          </cell>
          <cell r="R64">
            <v>6</v>
          </cell>
          <cell r="S64">
            <v>0.09</v>
          </cell>
        </row>
        <row r="65">
          <cell r="B65" t="str">
            <v>6 Lamp T5 High Output (high-bay) New Fixture with fixture-mounted occupancy sensor (reduce proposed operating hours accordingly)</v>
          </cell>
          <cell r="C65">
            <v>352</v>
          </cell>
          <cell r="D65">
            <v>28500</v>
          </cell>
          <cell r="E65" t="str">
            <v>H4/J2</v>
          </cell>
          <cell r="F65">
            <v>240</v>
          </cell>
          <cell r="I65">
            <v>6</v>
          </cell>
          <cell r="J65">
            <v>1</v>
          </cell>
          <cell r="K65">
            <v>5000</v>
          </cell>
          <cell r="L65">
            <v>0.95</v>
          </cell>
          <cell r="M65" t="str">
            <v>PRS</v>
          </cell>
          <cell r="N65">
            <v>0.28409090909090912</v>
          </cell>
          <cell r="O65">
            <v>17.543859649122808</v>
          </cell>
          <cell r="Q65">
            <v>20000</v>
          </cell>
          <cell r="R65">
            <v>6</v>
          </cell>
          <cell r="S65">
            <v>0.09</v>
          </cell>
        </row>
        <row r="66">
          <cell r="B66" t="str">
            <v>8 Lamp T5 High Output (high bay) New Fixture</v>
          </cell>
          <cell r="C66">
            <v>472</v>
          </cell>
          <cell r="D66">
            <v>38000</v>
          </cell>
          <cell r="E66" t="str">
            <v>H4</v>
          </cell>
          <cell r="F66">
            <v>180</v>
          </cell>
          <cell r="I66">
            <v>8</v>
          </cell>
          <cell r="J66">
            <v>1</v>
          </cell>
          <cell r="K66">
            <v>5000</v>
          </cell>
          <cell r="L66">
            <v>0.95</v>
          </cell>
          <cell r="M66" t="str">
            <v>PRS</v>
          </cell>
          <cell r="N66">
            <v>0.21186440677966101</v>
          </cell>
          <cell r="O66">
            <v>13.157894736842104</v>
          </cell>
          <cell r="Q66">
            <v>20000</v>
          </cell>
          <cell r="R66">
            <v>6</v>
          </cell>
          <cell r="S66">
            <v>0.09</v>
          </cell>
        </row>
        <row r="67">
          <cell r="B67" t="str">
            <v>12 Lamp T5 High Output (high bay) New Fixture</v>
          </cell>
          <cell r="C67">
            <v>704</v>
          </cell>
          <cell r="D67">
            <v>57000</v>
          </cell>
          <cell r="E67" t="str">
            <v>H4</v>
          </cell>
          <cell r="F67">
            <v>180</v>
          </cell>
          <cell r="I67">
            <v>12</v>
          </cell>
          <cell r="J67">
            <v>1</v>
          </cell>
          <cell r="K67">
            <v>5000</v>
          </cell>
          <cell r="L67">
            <v>0.95</v>
          </cell>
          <cell r="M67" t="str">
            <v>PRS</v>
          </cell>
          <cell r="N67">
            <v>0.14204545454545456</v>
          </cell>
          <cell r="O67">
            <v>8.7719298245614041</v>
          </cell>
          <cell r="Q67">
            <v>20000</v>
          </cell>
          <cell r="R67">
            <v>6</v>
          </cell>
          <cell r="S67">
            <v>0.09</v>
          </cell>
        </row>
        <row r="68">
          <cell r="B68" t="str">
            <v>2 Lamp T5 High Output (high-bay) fluorescent (Retrofit kit)</v>
          </cell>
          <cell r="C68">
            <v>118</v>
          </cell>
          <cell r="D68">
            <v>9500</v>
          </cell>
          <cell r="E68" t="str">
            <v>L1</v>
          </cell>
          <cell r="F68">
            <v>50</v>
          </cell>
          <cell r="I68">
            <v>2</v>
          </cell>
          <cell r="J68">
            <v>1</v>
          </cell>
          <cell r="K68">
            <v>5000</v>
          </cell>
          <cell r="L68">
            <v>0.95</v>
          </cell>
          <cell r="M68" t="str">
            <v>PRS</v>
          </cell>
          <cell r="N68">
            <v>0.84745762711864403</v>
          </cell>
          <cell r="O68">
            <v>84.745762711864401</v>
          </cell>
          <cell r="Q68">
            <v>20000</v>
          </cell>
          <cell r="R68">
            <v>6</v>
          </cell>
          <cell r="S68">
            <v>0.09</v>
          </cell>
        </row>
        <row r="69">
          <cell r="B69" t="str">
            <v>4 Lamp T5 High Output (high-bay) fluorescent (Retrofit kit)</v>
          </cell>
          <cell r="C69">
            <v>234</v>
          </cell>
          <cell r="D69">
            <v>19000</v>
          </cell>
          <cell r="E69" t="str">
            <v>L2</v>
          </cell>
          <cell r="F69">
            <v>100</v>
          </cell>
          <cell r="I69">
            <v>4</v>
          </cell>
          <cell r="J69">
            <v>1</v>
          </cell>
          <cell r="K69">
            <v>5000</v>
          </cell>
          <cell r="L69">
            <v>0.95</v>
          </cell>
          <cell r="M69" t="str">
            <v>PRS</v>
          </cell>
          <cell r="N69">
            <v>0.42735042735042733</v>
          </cell>
          <cell r="O69">
            <v>85.470085470085465</v>
          </cell>
          <cell r="Q69">
            <v>20000</v>
          </cell>
          <cell r="R69">
            <v>6</v>
          </cell>
          <cell r="S69">
            <v>0.09</v>
          </cell>
        </row>
        <row r="70">
          <cell r="B70" t="str">
            <v>----------------------------</v>
          </cell>
        </row>
        <row r="71">
          <cell r="B71" t="str">
            <v>High Output T8 New Fixtures</v>
          </cell>
        </row>
        <row r="72">
          <cell r="B72" t="str">
            <v>----------------------------</v>
          </cell>
        </row>
        <row r="73">
          <cell r="B73" t="str">
            <v>3 Lamp T8 4' High Output (high bay) New Fixture with Normal Light Output Ballast</v>
          </cell>
          <cell r="C73">
            <v>81</v>
          </cell>
          <cell r="D73">
            <v>7686.45</v>
          </cell>
          <cell r="E73" t="str">
            <v>H1</v>
          </cell>
          <cell r="F73">
            <v>120</v>
          </cell>
          <cell r="I73">
            <v>3</v>
          </cell>
          <cell r="J73">
            <v>0.87</v>
          </cell>
          <cell r="K73">
            <v>3100</v>
          </cell>
          <cell r="L73">
            <v>0.95</v>
          </cell>
          <cell r="M73" t="str">
            <v>ISH</v>
          </cell>
          <cell r="N73">
            <v>1.0740740740740742</v>
          </cell>
          <cell r="O73">
            <v>99.888888888888886</v>
          </cell>
          <cell r="Q73">
            <v>30000</v>
          </cell>
          <cell r="R73">
            <v>3.25</v>
          </cell>
          <cell r="S73">
            <v>0.09</v>
          </cell>
        </row>
        <row r="74">
          <cell r="B74" t="str">
            <v>3 Lamp T8 4' High Output (high bay) New Fixture with High Light Output Ballast</v>
          </cell>
          <cell r="C74">
            <v>111</v>
          </cell>
          <cell r="D74">
            <v>10160.25</v>
          </cell>
          <cell r="E74" t="str">
            <v>H1</v>
          </cell>
          <cell r="F74">
            <v>120</v>
          </cell>
          <cell r="I74">
            <v>3</v>
          </cell>
          <cell r="J74">
            <v>1.1499999999999999</v>
          </cell>
          <cell r="K74">
            <v>3100</v>
          </cell>
          <cell r="L74">
            <v>0.95</v>
          </cell>
          <cell r="M74" t="str">
            <v>ISH</v>
          </cell>
          <cell r="N74">
            <v>1.0360360360360359</v>
          </cell>
          <cell r="O74">
            <v>96.351351351351354</v>
          </cell>
          <cell r="Q74">
            <v>30000</v>
          </cell>
          <cell r="R74">
            <v>3.25</v>
          </cell>
          <cell r="S74">
            <v>0.09</v>
          </cell>
        </row>
        <row r="75">
          <cell r="B75" t="str">
            <v>4 Lamp T8 4' High Output (high bay) New Fixture with Normal Light Output Ballast</v>
          </cell>
          <cell r="C75">
            <v>108</v>
          </cell>
          <cell r="D75">
            <v>10248.6</v>
          </cell>
          <cell r="E75" t="str">
            <v>H1</v>
          </cell>
          <cell r="F75">
            <v>120</v>
          </cell>
          <cell r="I75">
            <v>4</v>
          </cell>
          <cell r="J75">
            <v>0.87</v>
          </cell>
          <cell r="K75">
            <v>3100</v>
          </cell>
          <cell r="L75">
            <v>0.95</v>
          </cell>
          <cell r="M75" t="str">
            <v>ISH</v>
          </cell>
          <cell r="N75">
            <v>0.80555555555555558</v>
          </cell>
          <cell r="O75">
            <v>99.888888888888886</v>
          </cell>
          <cell r="Q75">
            <v>30000</v>
          </cell>
          <cell r="R75">
            <v>3.25</v>
          </cell>
          <cell r="S75">
            <v>0.09</v>
          </cell>
        </row>
        <row r="76">
          <cell r="B76" t="str">
            <v>4 Lamp T8 4' High Output (high bay) New Fixture with High Light Output Ballast</v>
          </cell>
          <cell r="C76">
            <v>148</v>
          </cell>
          <cell r="D76">
            <v>13546.999999999998</v>
          </cell>
          <cell r="E76" t="str">
            <v>H2</v>
          </cell>
          <cell r="F76">
            <v>140</v>
          </cell>
          <cell r="I76">
            <v>4</v>
          </cell>
          <cell r="J76">
            <v>1.1499999999999999</v>
          </cell>
          <cell r="K76">
            <v>3100</v>
          </cell>
          <cell r="L76">
            <v>0.95</v>
          </cell>
          <cell r="M76" t="str">
            <v>ISH</v>
          </cell>
          <cell r="N76">
            <v>0.77702702702702697</v>
          </cell>
          <cell r="O76">
            <v>96.35135135135134</v>
          </cell>
          <cell r="Q76">
            <v>30000</v>
          </cell>
          <cell r="R76">
            <v>3.25</v>
          </cell>
          <cell r="S76">
            <v>0.09</v>
          </cell>
        </row>
        <row r="77">
          <cell r="B77" t="str">
            <v>6 Lamp T8 4' High Output (high bay) New Fixture with Normal Light Output Ballast</v>
          </cell>
          <cell r="C77">
            <v>162</v>
          </cell>
          <cell r="D77">
            <v>15372.9</v>
          </cell>
          <cell r="E77" t="str">
            <v>H2</v>
          </cell>
          <cell r="F77">
            <v>140</v>
          </cell>
          <cell r="I77">
            <v>6</v>
          </cell>
          <cell r="J77">
            <v>0.87</v>
          </cell>
          <cell r="K77">
            <v>3100</v>
          </cell>
          <cell r="L77">
            <v>0.95</v>
          </cell>
          <cell r="M77" t="str">
            <v>ISH</v>
          </cell>
          <cell r="N77">
            <v>0.53703703703703709</v>
          </cell>
          <cell r="O77">
            <v>99.888888888888886</v>
          </cell>
          <cell r="Q77">
            <v>30000</v>
          </cell>
          <cell r="R77">
            <v>3.25</v>
          </cell>
          <cell r="S77">
            <v>0.09</v>
          </cell>
        </row>
        <row r="78">
          <cell r="B78" t="str">
            <v>6 Lamp T8 4' High Output (high bay) New Fixture with High Light Output Ballast</v>
          </cell>
          <cell r="C78">
            <v>222</v>
          </cell>
          <cell r="D78">
            <v>21027.3</v>
          </cell>
          <cell r="E78" t="str">
            <v>H3</v>
          </cell>
          <cell r="F78">
            <v>160</v>
          </cell>
          <cell r="I78">
            <v>6</v>
          </cell>
          <cell r="J78">
            <v>1.19</v>
          </cell>
          <cell r="K78">
            <v>3100</v>
          </cell>
          <cell r="L78">
            <v>0.95</v>
          </cell>
          <cell r="M78" t="str">
            <v>ISH</v>
          </cell>
          <cell r="N78">
            <v>0.536036036036036</v>
          </cell>
          <cell r="O78">
            <v>99.702702702702709</v>
          </cell>
          <cell r="Q78">
            <v>30000</v>
          </cell>
          <cell r="R78">
            <v>3.25</v>
          </cell>
          <cell r="S78">
            <v>0.09</v>
          </cell>
        </row>
        <row r="79">
          <cell r="B79" t="str">
            <v>8 Lamp T8 4' High Output (high bay) New Fixture with Normal Light Output Ballast</v>
          </cell>
          <cell r="C79">
            <v>216</v>
          </cell>
          <cell r="D79">
            <v>20497.2</v>
          </cell>
          <cell r="E79" t="str">
            <v>H3</v>
          </cell>
          <cell r="F79">
            <v>160</v>
          </cell>
          <cell r="I79">
            <v>8</v>
          </cell>
          <cell r="J79">
            <v>0.87</v>
          </cell>
          <cell r="K79">
            <v>3100</v>
          </cell>
          <cell r="L79">
            <v>0.95</v>
          </cell>
          <cell r="M79" t="str">
            <v>ISH</v>
          </cell>
          <cell r="N79">
            <v>0.40277777777777779</v>
          </cell>
          <cell r="O79">
            <v>99.888888888888886</v>
          </cell>
          <cell r="Q79">
            <v>30000</v>
          </cell>
          <cell r="R79">
            <v>3.25</v>
          </cell>
          <cell r="S79">
            <v>0.09</v>
          </cell>
        </row>
        <row r="80">
          <cell r="B80" t="str">
            <v>8 Lamp T8 4' High Output (high bay) New Fixture with High Light Output Ballast</v>
          </cell>
          <cell r="C80">
            <v>296</v>
          </cell>
          <cell r="D80">
            <v>27093.999999999996</v>
          </cell>
          <cell r="E80" t="str">
            <v>H4</v>
          </cell>
          <cell r="F80">
            <v>180</v>
          </cell>
          <cell r="I80">
            <v>8</v>
          </cell>
          <cell r="J80">
            <v>1.1499999999999999</v>
          </cell>
          <cell r="K80">
            <v>3100</v>
          </cell>
          <cell r="L80">
            <v>0.95</v>
          </cell>
          <cell r="M80" t="str">
            <v>ISH</v>
          </cell>
          <cell r="N80">
            <v>0.38851351351351349</v>
          </cell>
          <cell r="O80">
            <v>96.35135135135134</v>
          </cell>
          <cell r="Q80">
            <v>30000</v>
          </cell>
          <cell r="R80">
            <v>3.25</v>
          </cell>
          <cell r="S80">
            <v>0.09</v>
          </cell>
        </row>
        <row r="81">
          <cell r="B81" t="str">
            <v>=================================</v>
          </cell>
        </row>
        <row r="82">
          <cell r="B82" t="str">
            <v>STANDARD T8 or T5 LAMP and BALLAST (New Fixture or Retrofit)</v>
          </cell>
        </row>
        <row r="83">
          <cell r="B83" t="str">
            <v>=================================</v>
          </cell>
        </row>
        <row r="84">
          <cell r="B84" t="str">
            <v xml:space="preserve">1 Lamp </v>
          </cell>
        </row>
        <row r="85">
          <cell r="B85" t="str">
            <v>----------------------------</v>
          </cell>
        </row>
        <row r="86">
          <cell r="B86" t="str">
            <v>Standard 2' T8 1 lamp 17 Watt 80+CRI lamp,  (1-F17T8)</v>
          </cell>
          <cell r="C86">
            <v>16</v>
          </cell>
          <cell r="D86">
            <v>1102.5</v>
          </cell>
          <cell r="E86" t="str">
            <v>B1</v>
          </cell>
          <cell r="F86">
            <v>10</v>
          </cell>
          <cell r="G86" t="str">
            <v>use high performance T8 for better results</v>
          </cell>
          <cell r="Q86">
            <v>24000</v>
          </cell>
          <cell r="R86">
            <v>2.5</v>
          </cell>
          <cell r="S86">
            <v>0.09</v>
          </cell>
        </row>
        <row r="87">
          <cell r="B87" t="str">
            <v>Standard 4' T8 1 lamp 32 Watt 80+CRI lamp with Reduced Light Output ballast, (1-F32T8)</v>
          </cell>
          <cell r="C87">
            <v>27</v>
          </cell>
          <cell r="D87">
            <v>1991.25</v>
          </cell>
          <cell r="E87" t="str">
            <v>B1</v>
          </cell>
          <cell r="F87">
            <v>10</v>
          </cell>
          <cell r="G87" t="str">
            <v>use high performance T8 for better results</v>
          </cell>
          <cell r="Q87">
            <v>24000</v>
          </cell>
          <cell r="R87">
            <v>2.5</v>
          </cell>
          <cell r="S87">
            <v>0.09</v>
          </cell>
        </row>
        <row r="88">
          <cell r="B88" t="str">
            <v>Standard 4' T8 1 lamp 32 Watt 80+CRI lamp with Normal Light Output ballast, (1-F32T8)</v>
          </cell>
          <cell r="C88">
            <v>31</v>
          </cell>
          <cell r="D88">
            <v>2400</v>
          </cell>
          <cell r="E88" t="str">
            <v>B1</v>
          </cell>
          <cell r="F88">
            <v>10</v>
          </cell>
          <cell r="G88" t="str">
            <v>use high performance T8 for better results</v>
          </cell>
          <cell r="Q88">
            <v>24000</v>
          </cell>
          <cell r="R88">
            <v>2.5</v>
          </cell>
          <cell r="S88">
            <v>0.09</v>
          </cell>
        </row>
        <row r="89">
          <cell r="B89" t="str">
            <v>----------------------------</v>
          </cell>
        </row>
        <row r="90">
          <cell r="B90" t="str">
            <v>2 Lamp</v>
          </cell>
        </row>
        <row r="91">
          <cell r="B91" t="str">
            <v>----------------------------</v>
          </cell>
        </row>
        <row r="92">
          <cell r="B92" t="str">
            <v>Standard 4' T8 2 lamp 32 Watt 80+CRI lamp with Very Reduced Light Output ballast, (2-F32T8)</v>
          </cell>
          <cell r="C92">
            <v>51</v>
          </cell>
          <cell r="D92">
            <v>4315.8499999999995</v>
          </cell>
          <cell r="E92" t="str">
            <v>B2</v>
          </cell>
          <cell r="F92">
            <v>20</v>
          </cell>
          <cell r="G92" t="str">
            <v>use high performance T8 for better results</v>
          </cell>
          <cell r="I92">
            <v>2</v>
          </cell>
          <cell r="J92">
            <v>0.77</v>
          </cell>
          <cell r="K92">
            <v>2950</v>
          </cell>
          <cell r="L92">
            <v>0.95</v>
          </cell>
          <cell r="M92" t="str">
            <v>ISL</v>
          </cell>
          <cell r="N92">
            <v>1.5098039215686274</v>
          </cell>
          <cell r="O92">
            <v>89.078431372549019</v>
          </cell>
          <cell r="Q92">
            <v>24000</v>
          </cell>
          <cell r="R92">
            <v>2.5</v>
          </cell>
          <cell r="S92">
            <v>0.09</v>
          </cell>
        </row>
        <row r="93">
          <cell r="B93" t="str">
            <v>Standard 4' T8 2 lamp 32 Watt 80+CRI lamp with Reduced Light Output ballast, (2-F32T8)</v>
          </cell>
          <cell r="C93">
            <v>55</v>
          </cell>
          <cell r="D93">
            <v>4371.8999999999996</v>
          </cell>
          <cell r="E93" t="str">
            <v>B2</v>
          </cell>
          <cell r="F93">
            <v>20</v>
          </cell>
          <cell r="G93" t="str">
            <v>use high performance T8 for better results</v>
          </cell>
          <cell r="I93">
            <v>2</v>
          </cell>
          <cell r="J93">
            <v>0.78</v>
          </cell>
          <cell r="K93">
            <v>2950</v>
          </cell>
          <cell r="L93">
            <v>0.95</v>
          </cell>
          <cell r="M93" t="str">
            <v>ISL</v>
          </cell>
          <cell r="N93">
            <v>1.4181818181818182</v>
          </cell>
          <cell r="O93">
            <v>83.672727272727272</v>
          </cell>
          <cell r="Q93">
            <v>24000</v>
          </cell>
          <cell r="R93">
            <v>2.5</v>
          </cell>
          <cell r="S93">
            <v>0.09</v>
          </cell>
        </row>
        <row r="94">
          <cell r="B94" t="str">
            <v>Standard 4' T8 2 lamp 32 Watt 80+CRI lamp with Normal Light Output ballast, (2-F32T8)</v>
          </cell>
          <cell r="C94">
            <v>59</v>
          </cell>
          <cell r="D94">
            <v>4932.3999999999996</v>
          </cell>
          <cell r="E94" t="str">
            <v>B2</v>
          </cell>
          <cell r="F94">
            <v>20</v>
          </cell>
          <cell r="G94" t="str">
            <v>use high performance T8 for better results</v>
          </cell>
          <cell r="I94">
            <v>2</v>
          </cell>
          <cell r="J94">
            <v>0.88</v>
          </cell>
          <cell r="K94">
            <v>2950</v>
          </cell>
          <cell r="L94">
            <v>0.95</v>
          </cell>
          <cell r="M94" t="str">
            <v>ISN</v>
          </cell>
          <cell r="N94">
            <v>1.4915254237288136</v>
          </cell>
          <cell r="O94">
            <v>88</v>
          </cell>
          <cell r="Q94">
            <v>24000</v>
          </cell>
          <cell r="R94">
            <v>2.5</v>
          </cell>
          <cell r="S94">
            <v>0.09</v>
          </cell>
        </row>
        <row r="95">
          <cell r="B95" t="str">
            <v>Standard T8 Stairwell or Parking Lot Light,  4' T8 2 lamp 32 Watt 80+CRI lamp with Normal Light Output ballast and fixture-mounted occupancy sensor (reduce proposed operating hours accordingly)</v>
          </cell>
          <cell r="C95">
            <v>65</v>
          </cell>
          <cell r="D95">
            <v>4932.3999999999996</v>
          </cell>
          <cell r="E95" t="str">
            <v>B2/J1</v>
          </cell>
          <cell r="F95">
            <v>55</v>
          </cell>
          <cell r="G95" t="str">
            <v>Stairwell or parking garage new fixture  (includes a light that is on 24/7)</v>
          </cell>
          <cell r="I95">
            <v>2</v>
          </cell>
          <cell r="J95">
            <v>0.88</v>
          </cell>
          <cell r="K95">
            <v>2950</v>
          </cell>
          <cell r="L95">
            <v>0.95</v>
          </cell>
          <cell r="M95" t="str">
            <v>ISN</v>
          </cell>
          <cell r="N95">
            <v>1.3538461538461539</v>
          </cell>
          <cell r="O95">
            <v>79.876923076923077</v>
          </cell>
          <cell r="Q95">
            <v>24000</v>
          </cell>
          <cell r="R95">
            <v>2.5</v>
          </cell>
          <cell r="S95">
            <v>0.09</v>
          </cell>
        </row>
        <row r="96">
          <cell r="B96" t="str">
            <v>Standard 8' T8 2 lamp 59 Watt 80+CRI lamp with Normal Light Output ballast, (2-F96T8)</v>
          </cell>
          <cell r="C96">
            <v>105</v>
          </cell>
          <cell r="D96">
            <v>9027</v>
          </cell>
          <cell r="E96" t="str">
            <v>B2</v>
          </cell>
          <cell r="F96">
            <v>20</v>
          </cell>
          <cell r="G96" t="str">
            <v>use high performance T8 for better results</v>
          </cell>
          <cell r="Q96">
            <v>24000</v>
          </cell>
          <cell r="R96">
            <v>2.5</v>
          </cell>
          <cell r="S96">
            <v>0.09</v>
          </cell>
        </row>
        <row r="97">
          <cell r="B97" t="str">
            <v>----------------------------</v>
          </cell>
        </row>
        <row r="98">
          <cell r="B98" t="str">
            <v>3 Lamp</v>
          </cell>
        </row>
        <row r="99">
          <cell r="B99" t="str">
            <v>----------------------------</v>
          </cell>
        </row>
        <row r="100">
          <cell r="B100" t="str">
            <v>Standard 4' T8 3 lamp 32 Watt 80+CRI lamp with Reduced Light Output ballast, (3-F32T8)</v>
          </cell>
          <cell r="C100">
            <v>80</v>
          </cell>
          <cell r="D100">
            <v>5973.75</v>
          </cell>
          <cell r="E100" t="str">
            <v>B2</v>
          </cell>
          <cell r="F100">
            <v>20</v>
          </cell>
          <cell r="G100" t="str">
            <v>use high performance T8 for better results</v>
          </cell>
          <cell r="Q100">
            <v>24000</v>
          </cell>
          <cell r="R100">
            <v>2.5</v>
          </cell>
          <cell r="S100">
            <v>0.09</v>
          </cell>
        </row>
        <row r="101">
          <cell r="B101" t="str">
            <v>Standard 4' T8 3 lamp 32 Watt 80+CRI lamp with Normal Light Output ballast, (3-F32T8)</v>
          </cell>
          <cell r="C101">
            <v>90</v>
          </cell>
          <cell r="D101">
            <v>6969.375</v>
          </cell>
          <cell r="E101" t="str">
            <v>B2</v>
          </cell>
          <cell r="F101">
            <v>20</v>
          </cell>
          <cell r="G101" t="str">
            <v>use high performance T8 for better results</v>
          </cell>
          <cell r="Q101">
            <v>24000</v>
          </cell>
          <cell r="R101">
            <v>2.5</v>
          </cell>
          <cell r="S101">
            <v>0.09</v>
          </cell>
        </row>
        <row r="102">
          <cell r="B102" t="str">
            <v>----------------------------</v>
          </cell>
        </row>
        <row r="103">
          <cell r="B103" t="str">
            <v>4 Lamp</v>
          </cell>
        </row>
        <row r="104">
          <cell r="B104" t="str">
            <v>----------------------------</v>
          </cell>
        </row>
        <row r="105">
          <cell r="B105" t="str">
            <v>Standard 4' T8 4 lamp 32 Watt 80+CRI lamp with Reduced Light Output ballast, (4-F32T8)</v>
          </cell>
          <cell r="C105">
            <v>98</v>
          </cell>
          <cell r="D105">
            <v>7728</v>
          </cell>
          <cell r="E105" t="str">
            <v>B2</v>
          </cell>
          <cell r="F105">
            <v>20</v>
          </cell>
          <cell r="G105" t="str">
            <v>use high performance T8 for better results</v>
          </cell>
          <cell r="Q105">
            <v>24000</v>
          </cell>
          <cell r="R105">
            <v>2.5</v>
          </cell>
          <cell r="S105">
            <v>0.09</v>
          </cell>
        </row>
        <row r="106">
          <cell r="B106" t="str">
            <v>Standard 4' T8 4 lamp 32 Watt 80+CRI lamp with Normal Light Output ballast, (4-F32T8)</v>
          </cell>
          <cell r="C106">
            <v>114</v>
          </cell>
          <cell r="D106">
            <v>9292.5</v>
          </cell>
          <cell r="E106" t="str">
            <v>B2</v>
          </cell>
          <cell r="F106">
            <v>20</v>
          </cell>
          <cell r="G106" t="str">
            <v>use high performance T8 for better results</v>
          </cell>
          <cell r="Q106">
            <v>24000</v>
          </cell>
          <cell r="R106">
            <v>2.5</v>
          </cell>
          <cell r="S106">
            <v>0.09</v>
          </cell>
        </row>
        <row r="107">
          <cell r="B107" t="str">
            <v>=================================</v>
          </cell>
        </row>
        <row r="108">
          <cell r="B108" t="str">
            <v>HARDWIRED COMPACT FLUORESCENT New Fixture or Retrofit kit (includes GU-24)</v>
          </cell>
        </row>
        <row r="109">
          <cell r="B109" t="str">
            <v>=================================</v>
          </cell>
        </row>
        <row r="110">
          <cell r="B110" t="str">
            <v>Hard-Wired CFL, 1-13 Watt Lamp (new fixture)</v>
          </cell>
          <cell r="C110">
            <v>16</v>
          </cell>
          <cell r="D110">
            <v>765</v>
          </cell>
          <cell r="E110" t="str">
            <v>C1</v>
          </cell>
          <cell r="F110">
            <v>40</v>
          </cell>
          <cell r="G110" t="str">
            <v>includes GU-24</v>
          </cell>
          <cell r="Q110">
            <v>10000</v>
          </cell>
          <cell r="R110">
            <v>1.91</v>
          </cell>
          <cell r="S110">
            <v>0.09</v>
          </cell>
        </row>
        <row r="111">
          <cell r="B111" t="str">
            <v>Hard-Wired CFL, 1-18 Watt Lamp (new fixture)</v>
          </cell>
          <cell r="C111">
            <v>19</v>
          </cell>
          <cell r="D111">
            <v>1062.5</v>
          </cell>
          <cell r="E111" t="str">
            <v>C1</v>
          </cell>
          <cell r="F111">
            <v>40</v>
          </cell>
          <cell r="G111" t="str">
            <v>includes GU-24</v>
          </cell>
          <cell r="Q111">
            <v>10000</v>
          </cell>
          <cell r="R111">
            <v>1.91</v>
          </cell>
          <cell r="S111">
            <v>0.09</v>
          </cell>
        </row>
        <row r="112">
          <cell r="B112" t="str">
            <v>Hard-Wired CFL, 1-26 Watt Lamp (new fixture)</v>
          </cell>
          <cell r="C112">
            <v>27</v>
          </cell>
          <cell r="D112">
            <v>1530</v>
          </cell>
          <cell r="E112" t="str">
            <v>C1</v>
          </cell>
          <cell r="F112">
            <v>40</v>
          </cell>
          <cell r="G112" t="str">
            <v>includes GU-24</v>
          </cell>
          <cell r="Q112">
            <v>10000</v>
          </cell>
          <cell r="R112">
            <v>3.3</v>
          </cell>
          <cell r="S112">
            <v>0.09</v>
          </cell>
        </row>
        <row r="113">
          <cell r="B113" t="str">
            <v>Hard-Wired CFL, 1-32 Watt Lamp (new fixture)</v>
          </cell>
          <cell r="C113">
            <v>33</v>
          </cell>
          <cell r="D113">
            <v>2040</v>
          </cell>
          <cell r="E113" t="str">
            <v>C1</v>
          </cell>
          <cell r="F113">
            <v>40</v>
          </cell>
          <cell r="G113" t="str">
            <v>includes GU-24</v>
          </cell>
          <cell r="Q113">
            <v>10000</v>
          </cell>
          <cell r="R113">
            <v>5.2</v>
          </cell>
          <cell r="S113">
            <v>0.09</v>
          </cell>
        </row>
        <row r="114">
          <cell r="B114" t="str">
            <v>Hard-Wired CFL, 1-42 Watt Lamp (new fixture)</v>
          </cell>
          <cell r="C114">
            <v>43</v>
          </cell>
          <cell r="D114">
            <v>2720</v>
          </cell>
          <cell r="E114" t="str">
            <v>C1</v>
          </cell>
          <cell r="F114">
            <v>40</v>
          </cell>
          <cell r="G114" t="str">
            <v>includes GU-24</v>
          </cell>
          <cell r="Q114">
            <v>10000</v>
          </cell>
          <cell r="R114">
            <v>5.5</v>
          </cell>
          <cell r="S114">
            <v>0.09</v>
          </cell>
        </row>
        <row r="115">
          <cell r="B115" t="str">
            <v>----------------------------</v>
          </cell>
        </row>
        <row r="116">
          <cell r="B116" t="str">
            <v>Hard-Wired CFL,  2-13 Watt Lamps (new fixture)</v>
          </cell>
          <cell r="C116">
            <v>29</v>
          </cell>
          <cell r="D116">
            <v>1530</v>
          </cell>
          <cell r="E116" t="str">
            <v>C1</v>
          </cell>
          <cell r="F116">
            <v>40</v>
          </cell>
          <cell r="G116" t="str">
            <v>includes GU-24</v>
          </cell>
          <cell r="Q116">
            <v>10000</v>
          </cell>
          <cell r="R116">
            <v>1.91</v>
          </cell>
          <cell r="S116">
            <v>0.09</v>
          </cell>
        </row>
        <row r="117">
          <cell r="B117" t="str">
            <v>Hard-Wired CFL,  2-18 Watt Lamps (new fixture)</v>
          </cell>
          <cell r="C117">
            <v>38</v>
          </cell>
          <cell r="D117">
            <v>2125</v>
          </cell>
          <cell r="E117" t="str">
            <v>C1</v>
          </cell>
          <cell r="F117">
            <v>40</v>
          </cell>
          <cell r="G117" t="str">
            <v>includes GU-24</v>
          </cell>
          <cell r="Q117">
            <v>10000</v>
          </cell>
          <cell r="R117">
            <v>1.91</v>
          </cell>
          <cell r="S117">
            <v>0.09</v>
          </cell>
        </row>
        <row r="118">
          <cell r="B118" t="str">
            <v>Hard-Wired CFL,  2-26 Watt Lamps (new fixture)</v>
          </cell>
          <cell r="C118">
            <v>54</v>
          </cell>
          <cell r="D118">
            <v>3060</v>
          </cell>
          <cell r="E118" t="str">
            <v>C2</v>
          </cell>
          <cell r="F118">
            <v>80</v>
          </cell>
          <cell r="G118" t="str">
            <v>includes GU-24</v>
          </cell>
          <cell r="Q118">
            <v>10000</v>
          </cell>
          <cell r="R118">
            <v>3.3</v>
          </cell>
          <cell r="S118">
            <v>0.09</v>
          </cell>
        </row>
        <row r="119">
          <cell r="B119" t="str">
            <v>Hard-Wired CFL,  2-28 Watt Lamps (new fixture)</v>
          </cell>
          <cell r="C119">
            <v>58</v>
          </cell>
          <cell r="D119">
            <v>2965.14</v>
          </cell>
          <cell r="E119" t="str">
            <v>C2</v>
          </cell>
          <cell r="F119">
            <v>80</v>
          </cell>
          <cell r="G119" t="str">
            <v>includes GU-24</v>
          </cell>
          <cell r="Q119">
            <v>10000</v>
          </cell>
          <cell r="R119">
            <v>3.3</v>
          </cell>
          <cell r="S119">
            <v>0.09</v>
          </cell>
        </row>
        <row r="120">
          <cell r="B120" t="str">
            <v>Hard-Wired CFL,  2-32 Watt Lamps (new fixture)</v>
          </cell>
          <cell r="C120">
            <v>68</v>
          </cell>
          <cell r="D120">
            <v>3398.13</v>
          </cell>
          <cell r="E120" t="str">
            <v>C2</v>
          </cell>
          <cell r="F120">
            <v>80</v>
          </cell>
          <cell r="G120" t="str">
            <v>includes GU-24</v>
          </cell>
          <cell r="Q120">
            <v>10000</v>
          </cell>
          <cell r="R120">
            <v>5.2</v>
          </cell>
          <cell r="S120">
            <v>0.09</v>
          </cell>
        </row>
        <row r="121">
          <cell r="B121" t="str">
            <v>Hard-Wired CFL,  2-42 Watt Lamps (new fixture)</v>
          </cell>
          <cell r="C121">
            <v>93</v>
          </cell>
          <cell r="D121">
            <v>5440</v>
          </cell>
          <cell r="E121" t="str">
            <v>C2</v>
          </cell>
          <cell r="F121">
            <v>80</v>
          </cell>
          <cell r="G121" t="str">
            <v>includes GU-24</v>
          </cell>
          <cell r="Q121">
            <v>10000</v>
          </cell>
          <cell r="R121">
            <v>5.5</v>
          </cell>
          <cell r="S121">
            <v>0.09</v>
          </cell>
        </row>
        <row r="122">
          <cell r="B122" t="str">
            <v>----------------------------</v>
          </cell>
        </row>
        <row r="123">
          <cell r="B123" t="str">
            <v>Hard-Wired CFL,  4-13 Watt Lamps (new fixture)</v>
          </cell>
          <cell r="C123">
            <v>58</v>
          </cell>
          <cell r="D123">
            <v>3060</v>
          </cell>
          <cell r="E123" t="str">
            <v>C2</v>
          </cell>
          <cell r="F123">
            <v>80</v>
          </cell>
          <cell r="G123" t="str">
            <v>includes GU-24</v>
          </cell>
          <cell r="Q123">
            <v>10000</v>
          </cell>
          <cell r="R123">
            <v>1.91</v>
          </cell>
          <cell r="S123">
            <v>0.09</v>
          </cell>
        </row>
        <row r="124">
          <cell r="B124" t="str">
            <v>Hard-Wired CFL,  4-18 Watt Lamps (new fixture)</v>
          </cell>
          <cell r="C124">
            <v>76</v>
          </cell>
          <cell r="D124">
            <v>4250</v>
          </cell>
          <cell r="E124" t="str">
            <v>C2</v>
          </cell>
          <cell r="F124">
            <v>80</v>
          </cell>
          <cell r="G124" t="str">
            <v>includes GU-24</v>
          </cell>
          <cell r="Q124">
            <v>10000</v>
          </cell>
          <cell r="R124">
            <v>1.91</v>
          </cell>
          <cell r="S124">
            <v>0.09</v>
          </cell>
        </row>
        <row r="125">
          <cell r="B125" t="str">
            <v>Hard-Wired CFL,  4-26 Watt Lamps (new fixture)</v>
          </cell>
          <cell r="C125">
            <v>108</v>
          </cell>
          <cell r="D125">
            <v>6120</v>
          </cell>
          <cell r="E125" t="str">
            <v>C2</v>
          </cell>
          <cell r="F125">
            <v>80</v>
          </cell>
          <cell r="G125" t="str">
            <v>includes GU-24</v>
          </cell>
          <cell r="Q125">
            <v>10000</v>
          </cell>
          <cell r="R125">
            <v>3.3</v>
          </cell>
          <cell r="S125">
            <v>0.09</v>
          </cell>
        </row>
        <row r="126">
          <cell r="B126" t="str">
            <v>Hard-Wired CFL,  4-42 Watt Lamps (new fixture)</v>
          </cell>
          <cell r="C126">
            <v>186</v>
          </cell>
          <cell r="D126">
            <v>10880</v>
          </cell>
          <cell r="E126" t="str">
            <v>C2</v>
          </cell>
          <cell r="F126">
            <v>80</v>
          </cell>
          <cell r="G126" t="str">
            <v>includes GU-24</v>
          </cell>
          <cell r="Q126">
            <v>10000</v>
          </cell>
          <cell r="R126">
            <v>5.5</v>
          </cell>
          <cell r="S126">
            <v>0.09</v>
          </cell>
        </row>
        <row r="127">
          <cell r="B127" t="str">
            <v>=================================</v>
          </cell>
        </row>
        <row r="128">
          <cell r="B128" t="str">
            <v>CERAMIC METAL HALIDE  (New Fixture)</v>
          </cell>
        </row>
        <row r="129">
          <cell r="B129" t="str">
            <v>=================================</v>
          </cell>
        </row>
        <row r="130">
          <cell r="B130" t="str">
            <v>Ceramic Metal Halide, 1-20 Watt Lamp (single end)</v>
          </cell>
          <cell r="C130">
            <v>28</v>
          </cell>
          <cell r="D130">
            <v>1100</v>
          </cell>
          <cell r="E130" t="str">
            <v>D1</v>
          </cell>
          <cell r="F130">
            <v>80</v>
          </cell>
          <cell r="G130" t="str">
            <v>Great option for retail display lighting - ie. track or recessed can</v>
          </cell>
          <cell r="Q130">
            <v>9000</v>
          </cell>
          <cell r="R130">
            <v>43.25</v>
          </cell>
          <cell r="S130">
            <v>0.15</v>
          </cell>
        </row>
        <row r="131">
          <cell r="B131" t="str">
            <v>Ceramic Metal Halide, 1-39 Watt Lamp (single or double end)</v>
          </cell>
          <cell r="C131">
            <v>45</v>
          </cell>
          <cell r="D131">
            <v>2600</v>
          </cell>
          <cell r="E131" t="str">
            <v>D1</v>
          </cell>
          <cell r="F131">
            <v>80</v>
          </cell>
          <cell r="G131" t="str">
            <v>Great option for retail display lighting - ie. track or recessed can</v>
          </cell>
          <cell r="Q131">
            <v>9000</v>
          </cell>
          <cell r="R131">
            <v>43.25</v>
          </cell>
          <cell r="S131">
            <v>0.15</v>
          </cell>
        </row>
        <row r="132">
          <cell r="B132" t="str">
            <v>Ceramic Metal Halide, 1-70 Watt Lamp (single or double end)</v>
          </cell>
          <cell r="C132">
            <v>80</v>
          </cell>
          <cell r="D132">
            <v>5200</v>
          </cell>
          <cell r="E132" t="str">
            <v>D1</v>
          </cell>
          <cell r="F132">
            <v>80</v>
          </cell>
          <cell r="G132" t="str">
            <v>Great option for retail display lighting - ie. track or recessed can</v>
          </cell>
          <cell r="Q132">
            <v>20000</v>
          </cell>
          <cell r="R132">
            <v>43.25</v>
          </cell>
          <cell r="S132">
            <v>0.15</v>
          </cell>
        </row>
        <row r="133">
          <cell r="B133" t="str">
            <v>Ceramic Metal Halide, 1-150 Watt Lamp (single or double end)</v>
          </cell>
          <cell r="C133">
            <v>168</v>
          </cell>
          <cell r="D133">
            <v>10200</v>
          </cell>
          <cell r="E133" t="str">
            <v>D2</v>
          </cell>
          <cell r="F133">
            <v>150</v>
          </cell>
          <cell r="G133" t="str">
            <v>Great option for retail display lighting - ie. track or recessed can</v>
          </cell>
          <cell r="Q133">
            <v>20000</v>
          </cell>
          <cell r="R133">
            <v>43.25</v>
          </cell>
          <cell r="S133">
            <v>0.15</v>
          </cell>
        </row>
        <row r="134">
          <cell r="B134" t="str">
            <v>Ceramic Metal Halide, 1-50 Watt Bulb</v>
          </cell>
          <cell r="C134">
            <v>55</v>
          </cell>
          <cell r="D134">
            <v>2640</v>
          </cell>
          <cell r="E134" t="str">
            <v>D1</v>
          </cell>
          <cell r="F134">
            <v>80</v>
          </cell>
          <cell r="G134" t="str">
            <v xml:space="preserve">Great option for general retail lighting </v>
          </cell>
          <cell r="Q134">
            <v>9000</v>
          </cell>
          <cell r="R134">
            <v>43.25</v>
          </cell>
          <cell r="S134">
            <v>0.15</v>
          </cell>
        </row>
        <row r="135">
          <cell r="B135" t="str">
            <v>Ceramic Metal Halide, 1-70 Watt Bulb</v>
          </cell>
          <cell r="C135">
            <v>80</v>
          </cell>
          <cell r="D135">
            <v>4700</v>
          </cell>
          <cell r="E135" t="str">
            <v>D1</v>
          </cell>
          <cell r="F135">
            <v>80</v>
          </cell>
          <cell r="G135" t="str">
            <v xml:space="preserve">Great option for general retail lighting </v>
          </cell>
          <cell r="Q135">
            <v>20000</v>
          </cell>
          <cell r="R135">
            <v>43.25</v>
          </cell>
          <cell r="S135">
            <v>0.15</v>
          </cell>
        </row>
        <row r="136">
          <cell r="B136" t="str">
            <v>Ceramic Metal Halide, 1-100 Watt Bulb</v>
          </cell>
          <cell r="C136">
            <v>112</v>
          </cell>
          <cell r="D136">
            <v>6800</v>
          </cell>
          <cell r="E136" t="str">
            <v>D2</v>
          </cell>
          <cell r="F136">
            <v>150</v>
          </cell>
          <cell r="G136" t="str">
            <v xml:space="preserve">Great option for general retail lighting </v>
          </cell>
          <cell r="Q136">
            <v>20000</v>
          </cell>
          <cell r="R136">
            <v>43.25</v>
          </cell>
          <cell r="S136">
            <v>0.15</v>
          </cell>
        </row>
        <row r="137">
          <cell r="B137" t="str">
            <v>Ceramic Metal Halide, 1-150 Watt Bulb</v>
          </cell>
          <cell r="C137">
            <v>168</v>
          </cell>
          <cell r="D137">
            <v>9920</v>
          </cell>
          <cell r="E137" t="str">
            <v>D2</v>
          </cell>
          <cell r="F137">
            <v>150</v>
          </cell>
          <cell r="G137" t="str">
            <v xml:space="preserve">Great option for general retail lighting </v>
          </cell>
          <cell r="Q137">
            <v>20000</v>
          </cell>
          <cell r="R137">
            <v>43.25</v>
          </cell>
          <cell r="S137">
            <v>0.15</v>
          </cell>
        </row>
        <row r="138">
          <cell r="B138" t="str">
            <v>Ceramic Metal Halide, 1-39 Watt PAR Lamp</v>
          </cell>
          <cell r="C138">
            <v>45</v>
          </cell>
          <cell r="D138">
            <v>1600</v>
          </cell>
          <cell r="E138" t="str">
            <v>D1</v>
          </cell>
          <cell r="F138">
            <v>80</v>
          </cell>
          <cell r="G138" t="str">
            <v>Great option for retail display lighting - ie. track or recessed can</v>
          </cell>
          <cell r="Q138">
            <v>9000</v>
          </cell>
          <cell r="R138">
            <v>43.25</v>
          </cell>
          <cell r="S138">
            <v>0.15</v>
          </cell>
        </row>
        <row r="139">
          <cell r="B139" t="str">
            <v>Ceramic Metal Halide, 1-70 Watt PAR Lamp</v>
          </cell>
          <cell r="C139">
            <v>80</v>
          </cell>
          <cell r="D139">
            <v>3840</v>
          </cell>
          <cell r="E139" t="str">
            <v>D1</v>
          </cell>
          <cell r="F139">
            <v>80</v>
          </cell>
          <cell r="G139" t="str">
            <v>Great option for retail display lighting - ie. track or recessed can</v>
          </cell>
          <cell r="Q139">
            <v>20000</v>
          </cell>
          <cell r="R139">
            <v>43.25</v>
          </cell>
          <cell r="S139">
            <v>0.15</v>
          </cell>
        </row>
        <row r="140">
          <cell r="B140" t="str">
            <v>Ceramic Metal Halide, 1-100 Watt PAR Lamp</v>
          </cell>
          <cell r="C140">
            <v>112</v>
          </cell>
          <cell r="D140">
            <v>5440</v>
          </cell>
          <cell r="E140" t="str">
            <v>D2</v>
          </cell>
          <cell r="F140">
            <v>150</v>
          </cell>
          <cell r="G140" t="str">
            <v>Great option for retail display lighting - ie. track or recessed can</v>
          </cell>
          <cell r="Q140">
            <v>20000</v>
          </cell>
          <cell r="R140">
            <v>43.25</v>
          </cell>
          <cell r="S140">
            <v>0.15</v>
          </cell>
        </row>
        <row r="141">
          <cell r="B141" t="str">
            <v>=================================</v>
          </cell>
        </row>
        <row r="142">
          <cell r="B142" t="str">
            <v>SCREW-IN LAMPS  (Lamp Only)</v>
          </cell>
        </row>
        <row r="143">
          <cell r="B143" t="str">
            <v>=================================</v>
          </cell>
        </row>
        <row r="144">
          <cell r="B144" t="str">
            <v>Screw-In CFL, 3 Watt</v>
          </cell>
          <cell r="C144">
            <v>3</v>
          </cell>
          <cell r="D144">
            <v>128</v>
          </cell>
          <cell r="E144" t="str">
            <v>E1</v>
          </cell>
          <cell r="F144">
            <v>3</v>
          </cell>
          <cell r="G144" t="str">
            <v>None</v>
          </cell>
          <cell r="Q144">
            <v>10000</v>
          </cell>
          <cell r="R144">
            <v>2</v>
          </cell>
          <cell r="S144">
            <v>0.09</v>
          </cell>
        </row>
        <row r="145">
          <cell r="B145" t="str">
            <v>Screw-In CFL, 5 Watt</v>
          </cell>
          <cell r="C145">
            <v>5</v>
          </cell>
          <cell r="D145">
            <v>213</v>
          </cell>
          <cell r="E145" t="str">
            <v>E1</v>
          </cell>
          <cell r="F145">
            <v>3</v>
          </cell>
          <cell r="G145" t="str">
            <v>None</v>
          </cell>
          <cell r="Q145">
            <v>10000</v>
          </cell>
          <cell r="R145">
            <v>2</v>
          </cell>
          <cell r="S145">
            <v>0.09</v>
          </cell>
        </row>
        <row r="146">
          <cell r="B146" t="str">
            <v>Screw-In CFL, 7 Watt</v>
          </cell>
          <cell r="C146">
            <v>7</v>
          </cell>
          <cell r="D146">
            <v>327</v>
          </cell>
          <cell r="E146" t="str">
            <v>E1</v>
          </cell>
          <cell r="F146">
            <v>3</v>
          </cell>
          <cell r="G146" t="str">
            <v>None</v>
          </cell>
          <cell r="Q146">
            <v>10000</v>
          </cell>
          <cell r="R146">
            <v>2</v>
          </cell>
          <cell r="S146">
            <v>0.09</v>
          </cell>
        </row>
        <row r="147">
          <cell r="B147" t="str">
            <v>Screw-In CFL, 9 Watt</v>
          </cell>
          <cell r="C147">
            <v>9</v>
          </cell>
          <cell r="D147">
            <v>421</v>
          </cell>
          <cell r="E147" t="str">
            <v>E1</v>
          </cell>
          <cell r="F147">
            <v>3</v>
          </cell>
          <cell r="G147" t="str">
            <v>None</v>
          </cell>
          <cell r="Q147">
            <v>10000</v>
          </cell>
          <cell r="R147">
            <v>2</v>
          </cell>
          <cell r="S147">
            <v>0.09</v>
          </cell>
        </row>
        <row r="148">
          <cell r="B148" t="str">
            <v>Screw-In CFL, 13 Watt</v>
          </cell>
          <cell r="C148">
            <v>13</v>
          </cell>
          <cell r="D148">
            <v>680</v>
          </cell>
          <cell r="E148" t="str">
            <v>E1</v>
          </cell>
          <cell r="F148">
            <v>3</v>
          </cell>
          <cell r="G148" t="str">
            <v>None</v>
          </cell>
          <cell r="Q148">
            <v>10000</v>
          </cell>
          <cell r="R148">
            <v>2</v>
          </cell>
          <cell r="S148">
            <v>0.09</v>
          </cell>
        </row>
        <row r="149">
          <cell r="B149" t="str">
            <v>Screw-In CFL, 14 Watt</v>
          </cell>
          <cell r="C149">
            <v>14</v>
          </cell>
          <cell r="D149">
            <v>720</v>
          </cell>
          <cell r="E149" t="str">
            <v>E1</v>
          </cell>
          <cell r="F149">
            <v>3</v>
          </cell>
          <cell r="G149" t="str">
            <v>None</v>
          </cell>
          <cell r="Q149">
            <v>10000</v>
          </cell>
          <cell r="R149">
            <v>2</v>
          </cell>
          <cell r="S149">
            <v>0.09</v>
          </cell>
        </row>
        <row r="150">
          <cell r="B150" t="str">
            <v>Screw-In CFL, 15 Watt</v>
          </cell>
          <cell r="C150">
            <v>15</v>
          </cell>
          <cell r="D150">
            <v>791</v>
          </cell>
          <cell r="E150" t="str">
            <v>E1</v>
          </cell>
          <cell r="F150">
            <v>3</v>
          </cell>
          <cell r="G150" t="str">
            <v>None</v>
          </cell>
          <cell r="Q150">
            <v>10000</v>
          </cell>
          <cell r="R150">
            <v>2</v>
          </cell>
          <cell r="S150">
            <v>0.09</v>
          </cell>
        </row>
        <row r="151">
          <cell r="B151" t="str">
            <v>Screw-In CFL, 18 Watt</v>
          </cell>
          <cell r="C151">
            <v>18</v>
          </cell>
          <cell r="D151">
            <v>978</v>
          </cell>
          <cell r="E151" t="str">
            <v>E1</v>
          </cell>
          <cell r="F151">
            <v>3</v>
          </cell>
          <cell r="G151" t="str">
            <v>None</v>
          </cell>
          <cell r="Q151">
            <v>10000</v>
          </cell>
          <cell r="R151">
            <v>2</v>
          </cell>
          <cell r="S151">
            <v>0.09</v>
          </cell>
        </row>
        <row r="152">
          <cell r="B152" t="str">
            <v>Screw-In CFL, 20 Watt</v>
          </cell>
          <cell r="C152">
            <v>20</v>
          </cell>
          <cell r="D152">
            <v>1020</v>
          </cell>
          <cell r="E152" t="str">
            <v>E1</v>
          </cell>
          <cell r="F152">
            <v>3</v>
          </cell>
          <cell r="G152" t="str">
            <v>None</v>
          </cell>
          <cell r="Q152">
            <v>10000</v>
          </cell>
          <cell r="R152">
            <v>2</v>
          </cell>
          <cell r="S152">
            <v>0.09</v>
          </cell>
        </row>
        <row r="153">
          <cell r="B153" t="str">
            <v>Screw-In CFL, 22 - 24 Watt (includes circline)</v>
          </cell>
          <cell r="C153">
            <v>23</v>
          </cell>
          <cell r="D153">
            <v>1190</v>
          </cell>
          <cell r="E153" t="str">
            <v>E1</v>
          </cell>
          <cell r="F153">
            <v>3</v>
          </cell>
          <cell r="G153" t="str">
            <v>None</v>
          </cell>
          <cell r="Q153">
            <v>10000</v>
          </cell>
          <cell r="R153">
            <v>10</v>
          </cell>
          <cell r="S153">
            <v>0.09</v>
          </cell>
        </row>
        <row r="154">
          <cell r="B154" t="str">
            <v>----------------------------</v>
          </cell>
        </row>
        <row r="155">
          <cell r="B155" t="str">
            <v>Screw-In CFL, 25 - 27 Watt</v>
          </cell>
          <cell r="C155">
            <v>26</v>
          </cell>
          <cell r="D155">
            <v>1488</v>
          </cell>
          <cell r="E155" t="str">
            <v>E2</v>
          </cell>
          <cell r="F155">
            <v>6</v>
          </cell>
          <cell r="G155" t="str">
            <v>None</v>
          </cell>
          <cell r="Q155">
            <v>10000</v>
          </cell>
          <cell r="R155">
            <v>3.5</v>
          </cell>
          <cell r="S155">
            <v>0.09</v>
          </cell>
        </row>
        <row r="156">
          <cell r="B156" t="str">
            <v>Screw-In CFL, 28 - 32 Watt (includes circline)</v>
          </cell>
          <cell r="C156">
            <v>30</v>
          </cell>
          <cell r="D156">
            <v>1530</v>
          </cell>
          <cell r="E156" t="str">
            <v>E2</v>
          </cell>
          <cell r="F156">
            <v>6</v>
          </cell>
          <cell r="G156" t="str">
            <v>None</v>
          </cell>
          <cell r="Q156">
            <v>10000</v>
          </cell>
          <cell r="R156">
            <v>3.5</v>
          </cell>
          <cell r="S156">
            <v>0.09</v>
          </cell>
        </row>
        <row r="157">
          <cell r="B157" t="str">
            <v>Screw-In CFL, 35 - 36 Watt (includes circline)</v>
          </cell>
          <cell r="C157">
            <v>36</v>
          </cell>
          <cell r="D157">
            <v>1785</v>
          </cell>
          <cell r="E157" t="str">
            <v>E2</v>
          </cell>
          <cell r="F157">
            <v>6</v>
          </cell>
          <cell r="G157" t="str">
            <v>None</v>
          </cell>
          <cell r="Q157">
            <v>10000</v>
          </cell>
          <cell r="R157">
            <v>6</v>
          </cell>
          <cell r="S157">
            <v>0.09</v>
          </cell>
        </row>
        <row r="158">
          <cell r="B158" t="str">
            <v>Screw-In CFL, 40 - 42 Watt (includes circline)</v>
          </cell>
          <cell r="C158">
            <v>41</v>
          </cell>
          <cell r="D158">
            <v>2380</v>
          </cell>
          <cell r="E158" t="str">
            <v>E2</v>
          </cell>
          <cell r="F158">
            <v>6</v>
          </cell>
          <cell r="G158" t="str">
            <v>None</v>
          </cell>
          <cell r="Q158">
            <v>10000</v>
          </cell>
          <cell r="R158">
            <v>10</v>
          </cell>
          <cell r="S158">
            <v>0.09</v>
          </cell>
        </row>
        <row r="159">
          <cell r="B159" t="str">
            <v>----------------------------</v>
          </cell>
        </row>
        <row r="160">
          <cell r="B160" t="str">
            <v>Screw-In CFL, 55 Watt</v>
          </cell>
          <cell r="C160">
            <v>55</v>
          </cell>
          <cell r="D160">
            <v>2975</v>
          </cell>
          <cell r="E160" t="str">
            <v>E3</v>
          </cell>
          <cell r="F160">
            <v>12</v>
          </cell>
          <cell r="G160" t="str">
            <v>None</v>
          </cell>
          <cell r="Q160">
            <v>10000</v>
          </cell>
          <cell r="R160">
            <v>18</v>
          </cell>
          <cell r="S160">
            <v>0.09</v>
          </cell>
        </row>
        <row r="161">
          <cell r="B161" t="str">
            <v>Screw-In CFL, 65 Watt</v>
          </cell>
          <cell r="C161">
            <v>65</v>
          </cell>
          <cell r="D161">
            <v>3570</v>
          </cell>
          <cell r="E161" t="str">
            <v>E3</v>
          </cell>
          <cell r="F161">
            <v>12</v>
          </cell>
          <cell r="G161" t="str">
            <v>None</v>
          </cell>
          <cell r="Q161">
            <v>10000</v>
          </cell>
          <cell r="R161">
            <v>18</v>
          </cell>
          <cell r="S161">
            <v>0.09</v>
          </cell>
        </row>
        <row r="162">
          <cell r="B162" t="str">
            <v>Screw-In CFL, 75 Watt LuxMagic</v>
          </cell>
          <cell r="C162">
            <v>75</v>
          </cell>
          <cell r="D162">
            <v>5250</v>
          </cell>
          <cell r="E162" t="str">
            <v>E3</v>
          </cell>
          <cell r="F162">
            <v>12</v>
          </cell>
          <cell r="G162" t="str">
            <v>None</v>
          </cell>
          <cell r="Q162">
            <v>10000</v>
          </cell>
          <cell r="R162">
            <v>18</v>
          </cell>
          <cell r="S162">
            <v>0.09</v>
          </cell>
        </row>
        <row r="163">
          <cell r="B163" t="str">
            <v>Screw-In CFL, 85 Watt</v>
          </cell>
          <cell r="C163">
            <v>85</v>
          </cell>
          <cell r="D163">
            <v>4675</v>
          </cell>
          <cell r="E163" t="str">
            <v>E3</v>
          </cell>
          <cell r="F163">
            <v>12</v>
          </cell>
          <cell r="G163" t="str">
            <v>None</v>
          </cell>
          <cell r="Q163">
            <v>10000</v>
          </cell>
          <cell r="R163">
            <v>22</v>
          </cell>
          <cell r="S163">
            <v>0.09</v>
          </cell>
        </row>
        <row r="164">
          <cell r="B164" t="str">
            <v>Screw-In CFL, 100 Watt</v>
          </cell>
          <cell r="C164">
            <v>100</v>
          </cell>
          <cell r="D164">
            <v>5100</v>
          </cell>
          <cell r="E164" t="str">
            <v>E3</v>
          </cell>
          <cell r="F164">
            <v>12</v>
          </cell>
          <cell r="G164" t="str">
            <v>None</v>
          </cell>
          <cell r="Q164">
            <v>10000</v>
          </cell>
          <cell r="R164">
            <v>22</v>
          </cell>
          <cell r="S164">
            <v>0.09</v>
          </cell>
        </row>
        <row r="165">
          <cell r="B165" t="str">
            <v xml:space="preserve">Screw-In CFL, 105 Watt, </v>
          </cell>
          <cell r="C165">
            <v>105</v>
          </cell>
          <cell r="D165">
            <v>5865</v>
          </cell>
          <cell r="E165" t="str">
            <v>E3</v>
          </cell>
          <cell r="F165">
            <v>12</v>
          </cell>
          <cell r="G165" t="str">
            <v>None</v>
          </cell>
          <cell r="Q165">
            <v>10000</v>
          </cell>
          <cell r="R165">
            <v>22</v>
          </cell>
          <cell r="S165">
            <v>0.09</v>
          </cell>
        </row>
        <row r="166">
          <cell r="B166" t="str">
            <v>Screw-In CFL, 125 Watt</v>
          </cell>
          <cell r="C166">
            <v>125</v>
          </cell>
          <cell r="D166">
            <v>6375</v>
          </cell>
          <cell r="E166" t="str">
            <v>E3</v>
          </cell>
          <cell r="F166">
            <v>12</v>
          </cell>
          <cell r="G166" t="str">
            <v>None</v>
          </cell>
          <cell r="Q166">
            <v>10000</v>
          </cell>
          <cell r="R166">
            <v>22</v>
          </cell>
          <cell r="S166">
            <v>0.09</v>
          </cell>
        </row>
        <row r="167">
          <cell r="B167" t="str">
            <v>Screw-In CFL, 150 Watt</v>
          </cell>
          <cell r="C167">
            <v>150</v>
          </cell>
          <cell r="D167">
            <v>7650</v>
          </cell>
          <cell r="E167" t="str">
            <v>E3</v>
          </cell>
          <cell r="F167">
            <v>12</v>
          </cell>
          <cell r="G167" t="str">
            <v>None</v>
          </cell>
          <cell r="Q167">
            <v>10000</v>
          </cell>
          <cell r="R167">
            <v>22</v>
          </cell>
          <cell r="S167">
            <v>0.09</v>
          </cell>
        </row>
        <row r="168">
          <cell r="B168" t="str">
            <v>=================================</v>
          </cell>
        </row>
        <row r="169">
          <cell r="B169" t="str">
            <v>SIGNS and DOWNLIGHTS</v>
          </cell>
        </row>
        <row r="170">
          <cell r="B170" t="str">
            <v>=================================</v>
          </cell>
        </row>
        <row r="171">
          <cell r="B171" t="str">
            <v xml:space="preserve">New LED Exit Sign </v>
          </cell>
          <cell r="C171">
            <v>3</v>
          </cell>
          <cell r="D171">
            <v>2</v>
          </cell>
          <cell r="E171" t="str">
            <v>F1</v>
          </cell>
          <cell r="F171">
            <v>50</v>
          </cell>
          <cell r="G171" t="str">
            <v>includes cold cathode (input appropriate wattage)</v>
          </cell>
          <cell r="Q171">
            <v>100000</v>
          </cell>
          <cell r="R171">
            <v>50</v>
          </cell>
          <cell r="S171">
            <v>0.2</v>
          </cell>
        </row>
        <row r="172">
          <cell r="B172" t="str">
            <v>New LED Exit Sign with battery back-up</v>
          </cell>
          <cell r="C172">
            <v>9</v>
          </cell>
          <cell r="D172">
            <v>2</v>
          </cell>
          <cell r="E172" t="str">
            <v>F1</v>
          </cell>
          <cell r="F172">
            <v>50</v>
          </cell>
          <cell r="G172" t="str">
            <v>None</v>
          </cell>
          <cell r="Q172">
            <v>100000</v>
          </cell>
          <cell r="R172">
            <v>50</v>
          </cell>
          <cell r="S172">
            <v>0.2</v>
          </cell>
        </row>
        <row r="173">
          <cell r="B173" t="str">
            <v>New LED Recessed Downlight or tracklight  (LR6 or equivalent)</v>
          </cell>
          <cell r="C173">
            <v>12</v>
          </cell>
          <cell r="D173">
            <v>650</v>
          </cell>
          <cell r="E173" t="str">
            <v>F2</v>
          </cell>
          <cell r="F173">
            <v>30</v>
          </cell>
          <cell r="G173" t="str">
            <v>CREE LR6 or equivalent</v>
          </cell>
          <cell r="Q173">
            <v>60000</v>
          </cell>
          <cell r="R173">
            <v>95</v>
          </cell>
          <cell r="S173">
            <v>0.2</v>
          </cell>
        </row>
        <row r="174">
          <cell r="B174" t="str">
            <v>New LED 16 Watt "DockLight"</v>
          </cell>
          <cell r="C174">
            <v>16</v>
          </cell>
          <cell r="D174">
            <v>660</v>
          </cell>
          <cell r="E174" t="str">
            <v>F2</v>
          </cell>
          <cell r="F174">
            <v>30</v>
          </cell>
          <cell r="G174" t="str">
            <v>EcoVations or equivalent</v>
          </cell>
          <cell r="Q174">
            <v>60000</v>
          </cell>
          <cell r="R174">
            <v>95</v>
          </cell>
          <cell r="S174">
            <v>0.2</v>
          </cell>
        </row>
        <row r="175">
          <cell r="B175" t="str">
            <v>=================================</v>
          </cell>
        </row>
        <row r="176">
          <cell r="B176" t="str">
            <v>INDUCTION (New Fixture or Retrofit kit)</v>
          </cell>
        </row>
        <row r="177">
          <cell r="B177" t="str">
            <v>=================================</v>
          </cell>
        </row>
        <row r="178">
          <cell r="B178" t="str">
            <v>Induction, 40 Watt lamp</v>
          </cell>
          <cell r="C178">
            <v>41</v>
          </cell>
          <cell r="D178">
            <v>3400</v>
          </cell>
          <cell r="E178" t="str">
            <v>G1</v>
          </cell>
          <cell r="F178">
            <v>80</v>
          </cell>
          <cell r="G178" t="str">
            <v>Great Street &amp; Area lighting option - 100,000 hr life, 5,508 pupil lumens</v>
          </cell>
          <cell r="Q178">
            <v>100000</v>
          </cell>
          <cell r="R178">
            <v>400</v>
          </cell>
          <cell r="S178">
            <v>0.3</v>
          </cell>
        </row>
        <row r="179">
          <cell r="B179" t="str">
            <v>Induction, 55 Watt globe-shaped lamp</v>
          </cell>
          <cell r="C179">
            <v>55</v>
          </cell>
          <cell r="D179">
            <v>2800</v>
          </cell>
          <cell r="E179" t="str">
            <v>G1</v>
          </cell>
          <cell r="F179">
            <v>80</v>
          </cell>
          <cell r="G179" t="str">
            <v>Great Street &amp; Area lighting option - 100,000 hr life</v>
          </cell>
          <cell r="Q179">
            <v>100000</v>
          </cell>
          <cell r="R179">
            <v>400</v>
          </cell>
          <cell r="S179">
            <v>0.3</v>
          </cell>
        </row>
        <row r="180">
          <cell r="B180" t="str">
            <v>Induction, 80 Watt lamp</v>
          </cell>
          <cell r="C180">
            <v>82</v>
          </cell>
          <cell r="D180">
            <v>6800</v>
          </cell>
          <cell r="E180" t="str">
            <v>G1</v>
          </cell>
          <cell r="F180">
            <v>80</v>
          </cell>
          <cell r="G180" t="str">
            <v>Great Street &amp; Area lighting option - 100,000 hr life, 11,016 pupil lumens</v>
          </cell>
          <cell r="Q180">
            <v>100000</v>
          </cell>
          <cell r="R180">
            <v>400</v>
          </cell>
          <cell r="S180">
            <v>0.3</v>
          </cell>
        </row>
        <row r="181">
          <cell r="B181" t="str">
            <v>Induction, 85 Watt globe-shaped lamp</v>
          </cell>
          <cell r="C181">
            <v>85</v>
          </cell>
          <cell r="D181">
            <v>4800</v>
          </cell>
          <cell r="E181" t="str">
            <v>G1</v>
          </cell>
          <cell r="F181">
            <v>80</v>
          </cell>
          <cell r="G181" t="str">
            <v>Great Street &amp; Area lighting option - 100,000 hr life</v>
          </cell>
          <cell r="Q181">
            <v>100000</v>
          </cell>
          <cell r="R181">
            <v>400</v>
          </cell>
          <cell r="S181">
            <v>0.3</v>
          </cell>
        </row>
        <row r="182">
          <cell r="B182" t="str">
            <v xml:space="preserve">Induction, 100 Watt lamp </v>
          </cell>
          <cell r="C182">
            <v>102</v>
          </cell>
          <cell r="D182">
            <v>8500</v>
          </cell>
          <cell r="E182" t="str">
            <v>G2</v>
          </cell>
          <cell r="F182">
            <v>150</v>
          </cell>
          <cell r="G182" t="str">
            <v>Great Street &amp; Area lighting option - 100,000 hr life, 13,770 pupil lumens</v>
          </cell>
          <cell r="Q182">
            <v>100000</v>
          </cell>
          <cell r="R182">
            <v>400</v>
          </cell>
          <cell r="S182">
            <v>0.3</v>
          </cell>
        </row>
        <row r="183">
          <cell r="B183" t="str">
            <v>Induction, Icetron 100 Watt donut-shaped lamp</v>
          </cell>
          <cell r="C183">
            <v>157</v>
          </cell>
          <cell r="D183">
            <v>5920</v>
          </cell>
          <cell r="E183" t="str">
            <v>G2</v>
          </cell>
          <cell r="F183">
            <v>150</v>
          </cell>
          <cell r="G183" t="str">
            <v>Great Street &amp; Area lighting option - 100,000 hr life</v>
          </cell>
          <cell r="Q183">
            <v>100000</v>
          </cell>
          <cell r="R183">
            <v>400</v>
          </cell>
          <cell r="S183">
            <v>0.3</v>
          </cell>
        </row>
        <row r="184">
          <cell r="B184" t="str">
            <v>Induction, 120 Watt Lamp</v>
          </cell>
          <cell r="C184">
            <v>122</v>
          </cell>
          <cell r="D184">
            <v>10200</v>
          </cell>
          <cell r="E184" t="str">
            <v>G2</v>
          </cell>
          <cell r="F184">
            <v>150</v>
          </cell>
          <cell r="G184" t="str">
            <v>Great Street &amp; Area lighting option - 100,000 hr life, 16,524 pupil lumens</v>
          </cell>
          <cell r="Q184">
            <v>60000</v>
          </cell>
          <cell r="R184">
            <v>400</v>
          </cell>
          <cell r="S184">
            <v>0.3</v>
          </cell>
        </row>
        <row r="185">
          <cell r="B185" t="str">
            <v>Induction, 165 Watt globe-shaped lamp</v>
          </cell>
          <cell r="C185">
            <v>165</v>
          </cell>
          <cell r="D185">
            <v>9600</v>
          </cell>
          <cell r="E185" t="str">
            <v>G2</v>
          </cell>
          <cell r="F185">
            <v>150</v>
          </cell>
          <cell r="G185" t="str">
            <v xml:space="preserve">Great Street &amp; Area lighting option - 100,000 hr life </v>
          </cell>
          <cell r="Q185">
            <v>100000</v>
          </cell>
          <cell r="R185">
            <v>400</v>
          </cell>
          <cell r="S185">
            <v>0.3</v>
          </cell>
        </row>
        <row r="186">
          <cell r="B186" t="str">
            <v>Induction, 200 Watt Lamp</v>
          </cell>
          <cell r="C186">
            <v>204</v>
          </cell>
          <cell r="D186">
            <v>17000</v>
          </cell>
          <cell r="E186" t="str">
            <v>G2</v>
          </cell>
          <cell r="F186">
            <v>150</v>
          </cell>
          <cell r="G186" t="str">
            <v>Great Street &amp; Area lighting option - 100,000 hr life, 27,540 pupil lumens</v>
          </cell>
          <cell r="Q186">
            <v>60000</v>
          </cell>
          <cell r="R186">
            <v>400</v>
          </cell>
          <cell r="S186">
            <v>0.3</v>
          </cell>
        </row>
        <row r="187">
          <cell r="B187" t="str">
            <v>Induction, 300 Watt Lamp</v>
          </cell>
          <cell r="C187">
            <v>306</v>
          </cell>
          <cell r="D187">
            <v>26010</v>
          </cell>
          <cell r="E187" t="str">
            <v>G2</v>
          </cell>
          <cell r="F187">
            <v>150</v>
          </cell>
          <cell r="G187" t="str">
            <v>Great Street &amp; Area lighting option - 100,000 hr life, 41,310 pupil lumens</v>
          </cell>
          <cell r="Q187">
            <v>60000</v>
          </cell>
          <cell r="R187">
            <v>400</v>
          </cell>
          <cell r="S187">
            <v>0.3</v>
          </cell>
        </row>
        <row r="188">
          <cell r="B188" t="str">
            <v>Induction, 400 Watt Lamp</v>
          </cell>
          <cell r="C188">
            <v>408</v>
          </cell>
          <cell r="D188">
            <v>34680</v>
          </cell>
          <cell r="E188" t="str">
            <v>G2</v>
          </cell>
          <cell r="F188">
            <v>150</v>
          </cell>
          <cell r="G188" t="str">
            <v>Great Street &amp; Area lighting option - 100,000 hr life, 55,080 pupil lumens</v>
          </cell>
          <cell r="Q188">
            <v>60000</v>
          </cell>
          <cell r="R188">
            <v>400</v>
          </cell>
          <cell r="S188">
            <v>0.3</v>
          </cell>
        </row>
        <row r="189">
          <cell r="B189" t="str">
            <v>=================================</v>
          </cell>
        </row>
        <row r="190">
          <cell r="B190" t="str">
            <v>METAL HALIDE (PULSE-START or ELECTRONIC)  (New Fixture)</v>
          </cell>
        </row>
        <row r="191">
          <cell r="B191" t="str">
            <v>=================================</v>
          </cell>
        </row>
        <row r="192">
          <cell r="B192" t="str">
            <v>Pulse-Start Metal Halide</v>
          </cell>
        </row>
        <row r="193">
          <cell r="B193" t="str">
            <v>----------------------------</v>
          </cell>
        </row>
        <row r="194">
          <cell r="B194" t="str">
            <v>Metal Halide Pulse Start, 200 Watt Lamp</v>
          </cell>
          <cell r="C194">
            <v>232</v>
          </cell>
          <cell r="D194">
            <v>16000</v>
          </cell>
          <cell r="E194" t="str">
            <v>I1</v>
          </cell>
          <cell r="F194">
            <v>150</v>
          </cell>
          <cell r="G194" t="str">
            <v>Consider T5 or T8 technology before recommending this technology, add 50% for pupil lumens</v>
          </cell>
          <cell r="Q194">
            <v>12000</v>
          </cell>
          <cell r="R194">
            <v>31.04</v>
          </cell>
          <cell r="S194">
            <v>0.4</v>
          </cell>
        </row>
        <row r="195">
          <cell r="B195" t="str">
            <v>Metal Halide Pulse Start, 250 Watt Lamp</v>
          </cell>
          <cell r="C195">
            <v>291</v>
          </cell>
          <cell r="D195">
            <v>19000</v>
          </cell>
          <cell r="E195" t="str">
            <v>I1</v>
          </cell>
          <cell r="F195">
            <v>150</v>
          </cell>
          <cell r="G195" t="str">
            <v>Consider T5 or T8 technology before recommending this technology, add 50% for pupil lumens</v>
          </cell>
          <cell r="Q195">
            <v>12000</v>
          </cell>
          <cell r="R195">
            <v>31.04</v>
          </cell>
          <cell r="S195">
            <v>0.4</v>
          </cell>
        </row>
        <row r="196">
          <cell r="B196" t="str">
            <v>Metal Halide Pulse Start, 300 Watt Lamp</v>
          </cell>
          <cell r="C196">
            <v>342</v>
          </cell>
          <cell r="D196">
            <v>24400</v>
          </cell>
          <cell r="E196" t="str">
            <v>I1</v>
          </cell>
          <cell r="F196">
            <v>150</v>
          </cell>
          <cell r="G196" t="str">
            <v>Consider T5 or T8 technology before recommending this technology, add 50% for pupil lumens</v>
          </cell>
          <cell r="Q196">
            <v>20000</v>
          </cell>
          <cell r="R196">
            <v>27.606382978723406</v>
          </cell>
          <cell r="S196">
            <v>0.4</v>
          </cell>
        </row>
        <row r="197">
          <cell r="B197" t="str">
            <v>Metal Halide Pulse Start, 320 Watt Lamp</v>
          </cell>
          <cell r="C197">
            <v>370</v>
          </cell>
          <cell r="D197">
            <v>26400</v>
          </cell>
          <cell r="E197" t="str">
            <v>I1</v>
          </cell>
          <cell r="F197">
            <v>150</v>
          </cell>
          <cell r="G197" t="str">
            <v>Consider T5 or T8 technology before recommending this technology, add 50% for pupil lumens</v>
          </cell>
          <cell r="Q197">
            <v>20000</v>
          </cell>
          <cell r="R197">
            <v>27.606382978723406</v>
          </cell>
          <cell r="S197">
            <v>0.4</v>
          </cell>
        </row>
        <row r="198">
          <cell r="B198" t="str">
            <v>Metal Halide Pulse Start, 350 Watt Lamp</v>
          </cell>
          <cell r="C198">
            <v>400</v>
          </cell>
          <cell r="D198">
            <v>29600</v>
          </cell>
          <cell r="E198" t="str">
            <v>I1</v>
          </cell>
          <cell r="F198">
            <v>150</v>
          </cell>
          <cell r="G198" t="str">
            <v>Consider T5 or T8 technology before recommending this technology, add 50% for pupil lumens</v>
          </cell>
          <cell r="Q198">
            <v>20000</v>
          </cell>
          <cell r="R198">
            <v>27.606382978723406</v>
          </cell>
          <cell r="S198">
            <v>0.4</v>
          </cell>
        </row>
        <row r="199">
          <cell r="B199" t="str">
            <v>Metal Halide Pulse Start, 400 Watt Lamp</v>
          </cell>
          <cell r="C199">
            <v>455</v>
          </cell>
          <cell r="D199">
            <v>31500</v>
          </cell>
          <cell r="E199" t="str">
            <v>I2</v>
          </cell>
          <cell r="F199">
            <v>200</v>
          </cell>
          <cell r="G199" t="str">
            <v>Consider T5 or T8 technology before recommending this technology, add 50% for pupil lumens</v>
          </cell>
          <cell r="Q199">
            <v>20000</v>
          </cell>
          <cell r="R199">
            <v>34.549999999999997</v>
          </cell>
          <cell r="S199">
            <v>0.4</v>
          </cell>
        </row>
        <row r="200">
          <cell r="B200" t="str">
            <v>Metal Halide Pulse Start, 450 Watt Lamp</v>
          </cell>
          <cell r="C200">
            <v>514</v>
          </cell>
          <cell r="D200">
            <v>40000</v>
          </cell>
          <cell r="E200" t="str">
            <v>I2</v>
          </cell>
          <cell r="F200">
            <v>200</v>
          </cell>
          <cell r="G200" t="str">
            <v>Consider T5 or T8 technology before recommending this technology, add 50% for pupil lumens</v>
          </cell>
          <cell r="Q200">
            <v>20000</v>
          </cell>
          <cell r="R200">
            <v>34.549999999999997</v>
          </cell>
          <cell r="S200">
            <v>0.4</v>
          </cell>
        </row>
        <row r="201">
          <cell r="B201" t="str">
            <v>Metal Halide Pulse Start, 750 Watt Lamp</v>
          </cell>
          <cell r="C201">
            <v>818</v>
          </cell>
          <cell r="D201">
            <v>60000</v>
          </cell>
          <cell r="E201" t="str">
            <v>I2</v>
          </cell>
          <cell r="F201">
            <v>200</v>
          </cell>
          <cell r="G201" t="str">
            <v>Consider T5 or T8 technology before recommending this technology, add 50% for pupil lumens</v>
          </cell>
          <cell r="Q201">
            <v>20000</v>
          </cell>
          <cell r="R201">
            <v>62.574468085106382</v>
          </cell>
          <cell r="S201">
            <v>0.4</v>
          </cell>
        </row>
        <row r="202">
          <cell r="B202" t="str">
            <v>Metal Halide Pulse Start, 875 Watt Lamp</v>
          </cell>
          <cell r="C202">
            <v>940</v>
          </cell>
          <cell r="D202">
            <v>80500</v>
          </cell>
          <cell r="E202" t="str">
            <v>I2</v>
          </cell>
          <cell r="F202">
            <v>200</v>
          </cell>
          <cell r="G202" t="str">
            <v>Consider T5 or T8 technology before recommending this technology, add 50% for pupil lumens</v>
          </cell>
          <cell r="Q202">
            <v>20000</v>
          </cell>
          <cell r="R202">
            <v>62.574468085106382</v>
          </cell>
          <cell r="S202">
            <v>0.4</v>
          </cell>
        </row>
        <row r="203">
          <cell r="B203" t="str">
            <v>Metal Halide Pulse Start, 1000 Watt Lamp</v>
          </cell>
          <cell r="C203">
            <v>1080</v>
          </cell>
          <cell r="D203">
            <v>96000</v>
          </cell>
          <cell r="E203" t="str">
            <v>I2</v>
          </cell>
          <cell r="F203">
            <v>200</v>
          </cell>
          <cell r="G203" t="str">
            <v>Consider T5 or T8 technology before recommending this technology, add 50% for pupil lumens</v>
          </cell>
          <cell r="Q203">
            <v>20000</v>
          </cell>
          <cell r="R203">
            <v>62.574468085106382</v>
          </cell>
          <cell r="S203">
            <v>0.4</v>
          </cell>
        </row>
        <row r="204">
          <cell r="B204" t="str">
            <v>----------------------------</v>
          </cell>
        </row>
        <row r="205">
          <cell r="B205" t="str">
            <v>Electronic Metal Halide</v>
          </cell>
        </row>
        <row r="206">
          <cell r="B206" t="str">
            <v>----------------------------</v>
          </cell>
        </row>
        <row r="207">
          <cell r="B207" t="str">
            <v>Metal Halide, 250 Watt Lamp, Electronic Ballast</v>
          </cell>
          <cell r="C207">
            <v>269</v>
          </cell>
          <cell r="D207">
            <v>22865</v>
          </cell>
          <cell r="E207" t="str">
            <v>I1</v>
          </cell>
          <cell r="F207">
            <v>150</v>
          </cell>
          <cell r="G207" t="str">
            <v>Metrolight  Electronic Ballast or equivalent, add 50% for pupil lumens</v>
          </cell>
          <cell r="Q207">
            <v>20000</v>
          </cell>
          <cell r="R207">
            <v>34.549999999999997</v>
          </cell>
          <cell r="S207">
            <v>0.4</v>
          </cell>
        </row>
        <row r="208">
          <cell r="B208" t="str">
            <v>Metal Halide, 320 Watt Lamp, Electronic Ballast</v>
          </cell>
          <cell r="C208">
            <v>344</v>
          </cell>
          <cell r="D208">
            <v>29240</v>
          </cell>
          <cell r="E208" t="str">
            <v>I1</v>
          </cell>
          <cell r="F208">
            <v>150</v>
          </cell>
          <cell r="G208" t="str">
            <v>Metrolight  Electronic Ballast or equivalent, add 50% for pupil lumens</v>
          </cell>
          <cell r="Q208">
            <v>20000</v>
          </cell>
          <cell r="R208">
            <v>34.549999999999997</v>
          </cell>
          <cell r="S208">
            <v>0.4</v>
          </cell>
        </row>
        <row r="209">
          <cell r="B209" t="str">
            <v>Metal Halide, 350 Watt Lamp, Electronic Ballast</v>
          </cell>
          <cell r="C209">
            <v>375</v>
          </cell>
          <cell r="D209">
            <v>31875</v>
          </cell>
          <cell r="E209" t="str">
            <v>I1</v>
          </cell>
          <cell r="F209">
            <v>150</v>
          </cell>
          <cell r="G209" t="str">
            <v>Metrolight  Electronic Ballast or equivalent, add 50% for pupil lumens</v>
          </cell>
          <cell r="Q209">
            <v>20000</v>
          </cell>
          <cell r="R209">
            <v>34.549999999999997</v>
          </cell>
          <cell r="S209">
            <v>0.4</v>
          </cell>
        </row>
        <row r="210">
          <cell r="B210" t="str">
            <v>Metal Halide, 400 Watt Lamp, Electronic Ballast</v>
          </cell>
          <cell r="C210">
            <v>425</v>
          </cell>
          <cell r="D210">
            <v>36120</v>
          </cell>
          <cell r="E210" t="str">
            <v>I2</v>
          </cell>
          <cell r="F210">
            <v>200</v>
          </cell>
          <cell r="G210" t="str">
            <v>Metrolight  Electronic Ballast or equivalent, add 50% for pupil lumens</v>
          </cell>
          <cell r="Q210">
            <v>20000</v>
          </cell>
          <cell r="R210">
            <v>34.549999999999997</v>
          </cell>
          <cell r="S210">
            <v>0.4</v>
          </cell>
        </row>
        <row r="211">
          <cell r="B211" t="str">
            <v>Metal Halide, 450 Watt Lamp, Electronic Ballast</v>
          </cell>
          <cell r="C211">
            <v>478</v>
          </cell>
          <cell r="D211">
            <v>40630</v>
          </cell>
          <cell r="E211" t="str">
            <v>I2</v>
          </cell>
          <cell r="F211">
            <v>200</v>
          </cell>
          <cell r="G211" t="str">
            <v>Metrolight  Electronic Ballast or equivalent, add 50% for pupil lumens</v>
          </cell>
          <cell r="Q211">
            <v>20000</v>
          </cell>
          <cell r="R211">
            <v>34.549999999999997</v>
          </cell>
          <cell r="S211">
            <v>0.4</v>
          </cell>
        </row>
        <row r="212">
          <cell r="B212" t="str">
            <v>=================================</v>
          </cell>
        </row>
        <row r="213">
          <cell r="B213" t="str">
            <v>OCCUPANCY SENSORS, TIMERS, PHOTOCELLS, and CONTROL PANELS</v>
          </cell>
        </row>
        <row r="214">
          <cell r="B214" t="str">
            <v>=================================</v>
          </cell>
        </row>
        <row r="215">
          <cell r="B215" t="str">
            <v>Occupancy Sensor, Timer, Photocell, or Control Panel controlling the above fixtures (50 to 200 watts) (Document by reducing proposed operating hours accordingly)</v>
          </cell>
          <cell r="E215" t="str">
            <v>J1</v>
          </cell>
          <cell r="F215">
            <v>35</v>
          </cell>
          <cell r="Q215" t="str">
            <v>No Default</v>
          </cell>
          <cell r="R215" t="str">
            <v>No Default</v>
          </cell>
          <cell r="S215" t="str">
            <v>No Default</v>
          </cell>
        </row>
        <row r="216">
          <cell r="B216" t="str">
            <v>Occupancy Sensor, Timer, Photocell, or Control Panel controlling the above fixtures (over 200 watts) (Document by reducing proposed operating hours accordingly)</v>
          </cell>
          <cell r="E216" t="str">
            <v>J2</v>
          </cell>
          <cell r="F216">
            <v>60</v>
          </cell>
          <cell r="Q216" t="str">
            <v>No Default</v>
          </cell>
          <cell r="R216" t="str">
            <v>No Default</v>
          </cell>
          <cell r="S216" t="str">
            <v>No Default</v>
          </cell>
        </row>
        <row r="217">
          <cell r="B217" t="str">
            <v>=================================</v>
          </cell>
        </row>
        <row r="218">
          <cell r="B218" t="str">
            <v>Non-Standard Measures</v>
          </cell>
        </row>
        <row r="219">
          <cell r="B219" t="str">
            <v>=================================</v>
          </cell>
        </row>
        <row r="220">
          <cell r="B220" t="str">
            <v>Screw-in LED (1 Watt)</v>
          </cell>
          <cell r="C220">
            <v>1</v>
          </cell>
          <cell r="D220">
            <v>60</v>
          </cell>
          <cell r="E220" t="str">
            <v>M1</v>
          </cell>
          <cell r="F220" t="str">
            <v>call BPA</v>
          </cell>
          <cell r="Q220">
            <v>50000</v>
          </cell>
          <cell r="R220">
            <v>40</v>
          </cell>
          <cell r="S220">
            <v>0.09</v>
          </cell>
        </row>
        <row r="221">
          <cell r="B221" t="str">
            <v>Screw-in LED or cold cathode (3 Watt)</v>
          </cell>
          <cell r="C221">
            <v>3</v>
          </cell>
          <cell r="D221">
            <v>120</v>
          </cell>
          <cell r="E221" t="str">
            <v>M1</v>
          </cell>
          <cell r="F221" t="str">
            <v>call BPA</v>
          </cell>
          <cell r="Q221">
            <v>25000</v>
          </cell>
          <cell r="R221">
            <v>15</v>
          </cell>
          <cell r="S221">
            <v>0.09</v>
          </cell>
        </row>
        <row r="222">
          <cell r="B222" t="str">
            <v>Screw-in LED (4 Watt)</v>
          </cell>
          <cell r="C222">
            <v>4</v>
          </cell>
          <cell r="D222">
            <v>240</v>
          </cell>
          <cell r="E222" t="str">
            <v>M1</v>
          </cell>
          <cell r="F222" t="str">
            <v>call BPA</v>
          </cell>
          <cell r="Q222">
            <v>50000</v>
          </cell>
          <cell r="R222">
            <v>40</v>
          </cell>
          <cell r="S222">
            <v>0.09</v>
          </cell>
        </row>
        <row r="223">
          <cell r="B223" t="str">
            <v>Screw-in LED or cold cathode (5 Watt)</v>
          </cell>
          <cell r="C223">
            <v>5</v>
          </cell>
          <cell r="D223">
            <v>200</v>
          </cell>
          <cell r="E223" t="str">
            <v>M1</v>
          </cell>
          <cell r="F223" t="str">
            <v>call BPA</v>
          </cell>
          <cell r="Q223">
            <v>25000</v>
          </cell>
          <cell r="R223">
            <v>15</v>
          </cell>
          <cell r="S223">
            <v>0.09</v>
          </cell>
        </row>
        <row r="224">
          <cell r="B224" t="str">
            <v>Screw-in LED (6 Watt)</v>
          </cell>
          <cell r="C224">
            <v>6</v>
          </cell>
          <cell r="D224">
            <v>360</v>
          </cell>
          <cell r="E224" t="str">
            <v>M1</v>
          </cell>
          <cell r="F224" t="str">
            <v>call BPA</v>
          </cell>
          <cell r="Q224">
            <v>50000</v>
          </cell>
          <cell r="R224">
            <v>40</v>
          </cell>
          <cell r="S224">
            <v>0.09</v>
          </cell>
        </row>
        <row r="225">
          <cell r="B225" t="str">
            <v>Screw-in LED or cold cathode (8 Watt)</v>
          </cell>
          <cell r="C225">
            <v>8</v>
          </cell>
          <cell r="D225">
            <v>300</v>
          </cell>
          <cell r="E225" t="str">
            <v>M1</v>
          </cell>
          <cell r="F225" t="str">
            <v>call BPA</v>
          </cell>
          <cell r="Q225">
            <v>25000</v>
          </cell>
          <cell r="R225">
            <v>15</v>
          </cell>
          <cell r="S225">
            <v>0.09</v>
          </cell>
        </row>
        <row r="226">
          <cell r="B226" t="str">
            <v>----------------------------</v>
          </cell>
        </row>
        <row r="227">
          <cell r="B227" t="str">
            <v>Screw-in Ceramic Metal Halide (self-ballasted)</v>
          </cell>
          <cell r="C227">
            <v>25</v>
          </cell>
          <cell r="D227">
            <v>1220</v>
          </cell>
          <cell r="E227" t="str">
            <v>M1</v>
          </cell>
          <cell r="F227" t="str">
            <v>call BPA</v>
          </cell>
          <cell r="G227" t="str">
            <v>Great option for retail display lighting - ie. track or recessed can</v>
          </cell>
          <cell r="Q227">
            <v>10500</v>
          </cell>
          <cell r="R227">
            <v>45</v>
          </cell>
          <cell r="S227">
            <v>0.09</v>
          </cell>
        </row>
        <row r="228">
          <cell r="B228" t="str">
            <v>----------------------------</v>
          </cell>
        </row>
        <row r="229">
          <cell r="B229" t="str">
            <v>New LED refrigerator case light  (3 watts per linear foot - input linear feet as quantity)</v>
          </cell>
          <cell r="C229">
            <v>3</v>
          </cell>
          <cell r="D229">
            <v>195</v>
          </cell>
          <cell r="E229" t="str">
            <v>M1</v>
          </cell>
          <cell r="F229" t="str">
            <v>call BPA</v>
          </cell>
          <cell r="G229" t="str">
            <v>Typically replaces T12 HO  4-6'</v>
          </cell>
          <cell r="Q229">
            <v>50000</v>
          </cell>
          <cell r="R229">
            <v>800</v>
          </cell>
          <cell r="S229">
            <v>0.3</v>
          </cell>
        </row>
        <row r="230">
          <cell r="B230" t="str">
            <v>New LED refrigerator case light  (6 watts per linear foot - input linear feet as quantity)</v>
          </cell>
          <cell r="C230">
            <v>6</v>
          </cell>
          <cell r="D230">
            <v>390</v>
          </cell>
          <cell r="E230" t="str">
            <v>M1</v>
          </cell>
          <cell r="F230" t="str">
            <v>call BPA</v>
          </cell>
          <cell r="G230" t="str">
            <v>Typically replaces T12 HO  4-6'</v>
          </cell>
          <cell r="Q230">
            <v>50000</v>
          </cell>
          <cell r="R230">
            <v>800</v>
          </cell>
          <cell r="S230">
            <v>0.3</v>
          </cell>
        </row>
        <row r="231">
          <cell r="B231" t="str">
            <v>New LED channel letter lighting  (1 watts per linear foot - input linear feet as quantity)</v>
          </cell>
          <cell r="C231">
            <v>1</v>
          </cell>
          <cell r="D231">
            <v>65</v>
          </cell>
          <cell r="E231" t="str">
            <v>M1</v>
          </cell>
          <cell r="F231" t="str">
            <v>call BPA</v>
          </cell>
          <cell r="G231" t="str">
            <v>Typically replaces neon or T12 HO</v>
          </cell>
          <cell r="Q231">
            <v>50000</v>
          </cell>
          <cell r="R231">
            <v>800</v>
          </cell>
          <cell r="S231">
            <v>0.3</v>
          </cell>
        </row>
        <row r="232">
          <cell r="B232" t="str">
            <v>New LED channel letter lighting  (2 watts per linear foot - input linear feet as quantity)</v>
          </cell>
          <cell r="C232">
            <v>2</v>
          </cell>
          <cell r="D232">
            <v>130</v>
          </cell>
          <cell r="E232" t="str">
            <v>M1</v>
          </cell>
          <cell r="F232" t="str">
            <v>call BPA</v>
          </cell>
          <cell r="G232" t="str">
            <v>Typically replaces neon or T12 HO</v>
          </cell>
          <cell r="Q232">
            <v>50000</v>
          </cell>
          <cell r="R232">
            <v>800</v>
          </cell>
          <cell r="S232">
            <v>0.3</v>
          </cell>
        </row>
        <row r="233">
          <cell r="B233" t="str">
            <v>----------------------------</v>
          </cell>
        </row>
        <row r="234">
          <cell r="B234" t="str">
            <v>New LED Outdoor Street/Area Light Fixture (28 Watt)</v>
          </cell>
          <cell r="C234">
            <v>28</v>
          </cell>
          <cell r="D234">
            <v>1700</v>
          </cell>
          <cell r="E234" t="str">
            <v>M1</v>
          </cell>
          <cell r="F234" t="str">
            <v>call BPA</v>
          </cell>
          <cell r="G234" t="str">
            <v>Wattage &amp; Lumen values from Beta LED spec sheet</v>
          </cell>
          <cell r="Q234">
            <v>50000</v>
          </cell>
          <cell r="R234">
            <v>800</v>
          </cell>
          <cell r="S234">
            <v>0.3</v>
          </cell>
        </row>
        <row r="235">
          <cell r="B235" t="str">
            <v>New LED Outdoor Street/Area Light Fixture (104 Watt)</v>
          </cell>
          <cell r="C235">
            <v>104</v>
          </cell>
          <cell r="D235">
            <v>6800</v>
          </cell>
          <cell r="E235" t="str">
            <v>M1</v>
          </cell>
          <cell r="F235" t="str">
            <v>call BPA</v>
          </cell>
          <cell r="G235" t="str">
            <v>Wattage &amp; Lumen values from Beta LED spec sheet</v>
          </cell>
          <cell r="Q235">
            <v>50000</v>
          </cell>
          <cell r="R235">
            <v>800</v>
          </cell>
          <cell r="S235">
            <v>0.3</v>
          </cell>
        </row>
        <row r="236">
          <cell r="B236" t="str">
            <v>New LED Outdoor Street/Area Light Fixture (207 Watt)</v>
          </cell>
          <cell r="C236">
            <v>207</v>
          </cell>
          <cell r="D236">
            <v>13600</v>
          </cell>
          <cell r="E236" t="str">
            <v>M1</v>
          </cell>
          <cell r="F236" t="str">
            <v>call BPA</v>
          </cell>
          <cell r="G236" t="str">
            <v>Wattage &amp; Lumen values from Beta LED spec sheet</v>
          </cell>
          <cell r="Q236">
            <v>50000</v>
          </cell>
          <cell r="R236">
            <v>800</v>
          </cell>
          <cell r="S236">
            <v>0.3</v>
          </cell>
        </row>
        <row r="237">
          <cell r="B237" t="str">
            <v>New LED Outdoor Street/Area Light Fixture (306 Watt)</v>
          </cell>
          <cell r="C237">
            <v>306</v>
          </cell>
          <cell r="D237">
            <v>20400</v>
          </cell>
          <cell r="E237" t="str">
            <v>M1</v>
          </cell>
          <cell r="F237" t="str">
            <v>call BPA</v>
          </cell>
          <cell r="G237" t="str">
            <v>Wattage &amp; Lumen values from Beta LED spec sheet</v>
          </cell>
          <cell r="Q237">
            <v>50000</v>
          </cell>
          <cell r="R237">
            <v>800</v>
          </cell>
          <cell r="S237">
            <v>0.3</v>
          </cell>
        </row>
        <row r="238">
          <cell r="B238" t="str">
            <v>----------------------------</v>
          </cell>
        </row>
        <row r="239">
          <cell r="B239" t="str">
            <v>Metal Halide, 50 Watt Lamp, Electronic Ballast</v>
          </cell>
          <cell r="C239">
            <v>56</v>
          </cell>
          <cell r="D239">
            <v>4760</v>
          </cell>
          <cell r="E239" t="str">
            <v>M1</v>
          </cell>
          <cell r="F239" t="str">
            <v>call BPA</v>
          </cell>
          <cell r="G239" t="str">
            <v>Metrolight  Electronic Ballast or equivalent, add 50% for pupil lumens</v>
          </cell>
          <cell r="Q239">
            <v>20000</v>
          </cell>
          <cell r="R239">
            <v>34.549999999999997</v>
          </cell>
          <cell r="S239">
            <v>0.4</v>
          </cell>
        </row>
        <row r="240">
          <cell r="B240" t="str">
            <v>MH Pulse Start, 1-PS 50 Watt Lamp</v>
          </cell>
          <cell r="C240">
            <v>68</v>
          </cell>
          <cell r="D240">
            <v>2100</v>
          </cell>
          <cell r="E240" t="str">
            <v>M1</v>
          </cell>
          <cell r="F240" t="str">
            <v>call BPA</v>
          </cell>
          <cell r="G240" t="str">
            <v>Venture Lighting Catalog, add 50% for pupil lumens</v>
          </cell>
          <cell r="Q240">
            <v>7500</v>
          </cell>
          <cell r="R240">
            <v>26.67</v>
          </cell>
          <cell r="S240">
            <v>0.4</v>
          </cell>
        </row>
        <row r="241">
          <cell r="B241" t="str">
            <v>Metal Halide, 70 Watt Lamp, Electronic Ballast</v>
          </cell>
          <cell r="C241">
            <v>76</v>
          </cell>
          <cell r="D241">
            <v>6460</v>
          </cell>
          <cell r="E241" t="str">
            <v>M1</v>
          </cell>
          <cell r="F241" t="str">
            <v>call BPA</v>
          </cell>
          <cell r="G241" t="str">
            <v>Metrolight  Electronic Ballast or equivalent, add 50% for pupil lumens</v>
          </cell>
          <cell r="Q241">
            <v>20000</v>
          </cell>
          <cell r="R241">
            <v>34.549999999999997</v>
          </cell>
          <cell r="S241">
            <v>0.4</v>
          </cell>
        </row>
        <row r="242">
          <cell r="B242" t="str">
            <v>MH Pulse Start, 1-PS 70 Watt Lamp</v>
          </cell>
          <cell r="C242">
            <v>90</v>
          </cell>
          <cell r="D242">
            <v>3400</v>
          </cell>
          <cell r="E242" t="str">
            <v>M1</v>
          </cell>
          <cell r="F242" t="str">
            <v>call BPA</v>
          </cell>
          <cell r="G242" t="str">
            <v>Venture Lighting Catalog, add 50% for pupil lumens</v>
          </cell>
          <cell r="Q242">
            <v>12000</v>
          </cell>
          <cell r="R242">
            <v>26.67</v>
          </cell>
          <cell r="S242">
            <v>0.4</v>
          </cell>
        </row>
        <row r="243">
          <cell r="B243" t="str">
            <v>Metal Halide, 100 Watt Lamp, Electronic Ballast</v>
          </cell>
          <cell r="C243">
            <v>108</v>
          </cell>
          <cell r="D243">
            <v>9180</v>
          </cell>
          <cell r="E243" t="str">
            <v>M1</v>
          </cell>
          <cell r="F243" t="str">
            <v>call BPA</v>
          </cell>
          <cell r="G243" t="str">
            <v>Metrolight  Electronic Ballast or equivalent, add 50% for pupil lumens</v>
          </cell>
          <cell r="Q243">
            <v>20000</v>
          </cell>
          <cell r="R243">
            <v>34.549999999999997</v>
          </cell>
          <cell r="S243">
            <v>0.4</v>
          </cell>
        </row>
        <row r="244">
          <cell r="B244" t="str">
            <v>MH Pulse Start, 1-PS 100 Watt Lamp</v>
          </cell>
          <cell r="C244">
            <v>125</v>
          </cell>
          <cell r="D244">
            <v>5500</v>
          </cell>
          <cell r="E244" t="str">
            <v>M1</v>
          </cell>
          <cell r="F244" t="str">
            <v>call BPA</v>
          </cell>
          <cell r="G244" t="str">
            <v>Venture Lighting Catalog, add 50% for pupil lumens</v>
          </cell>
          <cell r="Q244">
            <v>12000</v>
          </cell>
          <cell r="R244">
            <v>26.67</v>
          </cell>
          <cell r="S244">
            <v>0.4</v>
          </cell>
        </row>
        <row r="245">
          <cell r="B245" t="str">
            <v>Metal Halide, 150 Watt Lamp, Electronic Ballast</v>
          </cell>
          <cell r="C245">
            <v>158</v>
          </cell>
          <cell r="D245">
            <v>13430</v>
          </cell>
          <cell r="E245" t="str">
            <v>M1</v>
          </cell>
          <cell r="F245" t="str">
            <v>call BPA</v>
          </cell>
          <cell r="G245" t="str">
            <v>Metrolight  Electronic Ballast or equivalent, add 50% for pupil lumens</v>
          </cell>
          <cell r="Q245">
            <v>20000</v>
          </cell>
          <cell r="R245">
            <v>34.549999999999997</v>
          </cell>
          <cell r="S245">
            <v>0.4</v>
          </cell>
        </row>
        <row r="246">
          <cell r="B246" t="str">
            <v>MH Pulse Start, 1-PS 150 Watt Lamp</v>
          </cell>
          <cell r="C246">
            <v>185</v>
          </cell>
          <cell r="D246">
            <v>9500</v>
          </cell>
          <cell r="E246" t="str">
            <v>M1</v>
          </cell>
          <cell r="F246" t="str">
            <v>call BPA</v>
          </cell>
          <cell r="G246" t="str">
            <v>Venture Lighting Catalog, add 50% for pupil lumens</v>
          </cell>
          <cell r="Q246">
            <v>12000</v>
          </cell>
          <cell r="R246">
            <v>28.08</v>
          </cell>
          <cell r="S246">
            <v>0.4</v>
          </cell>
        </row>
        <row r="247">
          <cell r="B247" t="str">
            <v>MH Pulse Start, 1-PS 175 Watt Lamp</v>
          </cell>
          <cell r="C247">
            <v>208</v>
          </cell>
          <cell r="D247">
            <v>14000</v>
          </cell>
          <cell r="E247" t="str">
            <v>M1</v>
          </cell>
          <cell r="F247" t="str">
            <v>call BPA</v>
          </cell>
          <cell r="G247" t="str">
            <v>Venture Lighting Catalog, add 50% for pupil lumens</v>
          </cell>
          <cell r="Q247">
            <v>12000</v>
          </cell>
          <cell r="R247">
            <v>31.04</v>
          </cell>
          <cell r="S247">
            <v>0.4</v>
          </cell>
        </row>
        <row r="248">
          <cell r="B248" t="str">
            <v>----------------------------</v>
          </cell>
        </row>
        <row r="249">
          <cell r="B249" t="str">
            <v>High Pressure Sodium, 35W</v>
          </cell>
          <cell r="C249">
            <v>45</v>
          </cell>
          <cell r="D249">
            <v>1845</v>
          </cell>
          <cell r="E249" t="str">
            <v>M1</v>
          </cell>
          <cell r="F249" t="str">
            <v>call BPA</v>
          </cell>
          <cell r="G249" t="str">
            <v>Hardwired CFL</v>
          </cell>
          <cell r="Q249">
            <v>16000</v>
          </cell>
          <cell r="R249">
            <v>15.72</v>
          </cell>
          <cell r="S249">
            <v>0.4</v>
          </cell>
        </row>
        <row r="250">
          <cell r="B250" t="str">
            <v>High Pressure Sodium, 50W</v>
          </cell>
          <cell r="C250">
            <v>68</v>
          </cell>
          <cell r="D250">
            <v>3280</v>
          </cell>
          <cell r="E250" t="str">
            <v>M1</v>
          </cell>
          <cell r="F250" t="str">
            <v>call BPA</v>
          </cell>
          <cell r="G250" t="str">
            <v>Hardwired CFL</v>
          </cell>
          <cell r="Q250">
            <v>24000</v>
          </cell>
          <cell r="R250">
            <v>15.72</v>
          </cell>
          <cell r="S250">
            <v>0.4</v>
          </cell>
        </row>
        <row r="251">
          <cell r="B251" t="str">
            <v>High Pressure Sodium, 70W</v>
          </cell>
          <cell r="C251">
            <v>86</v>
          </cell>
          <cell r="D251">
            <v>5166</v>
          </cell>
          <cell r="E251" t="str">
            <v>M1</v>
          </cell>
          <cell r="F251" t="str">
            <v>call BPA</v>
          </cell>
          <cell r="G251" t="str">
            <v>Hardwired CFL</v>
          </cell>
          <cell r="Q251">
            <v>24000</v>
          </cell>
          <cell r="R251">
            <v>15.72</v>
          </cell>
          <cell r="S251">
            <v>0.4</v>
          </cell>
        </row>
        <row r="252">
          <cell r="B252" t="str">
            <v>High Pressure Sodium, 100W</v>
          </cell>
          <cell r="C252">
            <v>120</v>
          </cell>
          <cell r="D252">
            <v>7790</v>
          </cell>
          <cell r="E252" t="str">
            <v>M1</v>
          </cell>
          <cell r="F252" t="str">
            <v>call BPA</v>
          </cell>
          <cell r="G252" t="str">
            <v>Hardwired CFL</v>
          </cell>
          <cell r="Q252">
            <v>24000</v>
          </cell>
          <cell r="R252">
            <v>15.72</v>
          </cell>
          <cell r="S252">
            <v>0.4</v>
          </cell>
        </row>
        <row r="253">
          <cell r="B253" t="str">
            <v>High Pressure Sodium, 150W</v>
          </cell>
          <cell r="C253">
            <v>170</v>
          </cell>
          <cell r="D253">
            <v>13120</v>
          </cell>
          <cell r="E253" t="str">
            <v>M1</v>
          </cell>
          <cell r="F253" t="str">
            <v>call BPA</v>
          </cell>
          <cell r="G253" t="str">
            <v>Ceramic Metal Halide, 1-70W, 1-Elec</v>
          </cell>
          <cell r="Q253">
            <v>24000</v>
          </cell>
          <cell r="R253">
            <v>11.89</v>
          </cell>
          <cell r="S253">
            <v>0.4</v>
          </cell>
        </row>
        <row r="254">
          <cell r="B254" t="str">
            <v>High Pressure Sodium, 200W</v>
          </cell>
          <cell r="C254">
            <v>245</v>
          </cell>
          <cell r="D254">
            <v>18040</v>
          </cell>
          <cell r="E254" t="str">
            <v>M1</v>
          </cell>
          <cell r="F254" t="str">
            <v>call BPA</v>
          </cell>
          <cell r="G254" t="str">
            <v>Ceramic Metal Halide, 1-100W, 1-Elec</v>
          </cell>
          <cell r="Q254">
            <v>24000</v>
          </cell>
          <cell r="R254">
            <v>14.24</v>
          </cell>
          <cell r="S254">
            <v>0.4</v>
          </cell>
        </row>
        <row r="255">
          <cell r="B255" t="str">
            <v>High Pressure Sodium, 250W</v>
          </cell>
          <cell r="C255">
            <v>295</v>
          </cell>
          <cell r="D255">
            <v>22550</v>
          </cell>
          <cell r="E255" t="str">
            <v>M1</v>
          </cell>
          <cell r="F255" t="str">
            <v>call BPA</v>
          </cell>
          <cell r="G255" t="str">
            <v>Ceramic Metal Halide, 1-150W, 1-Elec</v>
          </cell>
          <cell r="Q255">
            <v>24000</v>
          </cell>
          <cell r="R255">
            <v>14.24</v>
          </cell>
          <cell r="S255">
            <v>0.4</v>
          </cell>
        </row>
        <row r="256">
          <cell r="B256" t="str">
            <v>High Pressure Sodium, 310W</v>
          </cell>
          <cell r="C256">
            <v>365</v>
          </cell>
          <cell r="D256">
            <v>30340</v>
          </cell>
          <cell r="E256" t="str">
            <v>M1</v>
          </cell>
          <cell r="F256" t="str">
            <v>call BPA</v>
          </cell>
          <cell r="G256" t="str">
            <v>Ceramic Metal Halide, 1-250W, 1-Elec</v>
          </cell>
          <cell r="Q256">
            <v>24000</v>
          </cell>
          <cell r="R256">
            <v>14.24</v>
          </cell>
          <cell r="S256">
            <v>0.4</v>
          </cell>
        </row>
        <row r="257">
          <cell r="B257" t="str">
            <v>High Pressure Sodium, 400W</v>
          </cell>
          <cell r="C257">
            <v>457</v>
          </cell>
          <cell r="D257">
            <v>41000</v>
          </cell>
          <cell r="E257" t="str">
            <v>M1</v>
          </cell>
          <cell r="F257" t="str">
            <v>call BPA</v>
          </cell>
          <cell r="G257" t="str">
            <v>Ceramic Metal Halide, 1-320W, 1-Elec</v>
          </cell>
          <cell r="Q257">
            <v>24000</v>
          </cell>
          <cell r="R257">
            <v>14.24</v>
          </cell>
          <cell r="S257">
            <v>0.4</v>
          </cell>
        </row>
        <row r="258">
          <cell r="B258" t="str">
            <v>----------------------------</v>
          </cell>
        </row>
        <row r="259">
          <cell r="B259" t="str">
            <v>MR-16 or MRC-16 Halogen Display Lamps, 20W</v>
          </cell>
          <cell r="C259">
            <v>20</v>
          </cell>
          <cell r="D259">
            <v>240</v>
          </cell>
          <cell r="E259" t="str">
            <v>M1</v>
          </cell>
          <cell r="F259" t="str">
            <v>call BPA</v>
          </cell>
          <cell r="G259" t="str">
            <v>Ceramic Metal Halide, 1-39W, 1-Elec</v>
          </cell>
          <cell r="Q259" t="str">
            <v>No Default</v>
          </cell>
          <cell r="R259" t="str">
            <v>No Default</v>
          </cell>
          <cell r="S259" t="str">
            <v>No Default</v>
          </cell>
        </row>
        <row r="260">
          <cell r="B260" t="str">
            <v>MR-16 or MRC-16 Halogen Display Lamps, 35W</v>
          </cell>
          <cell r="C260">
            <v>35</v>
          </cell>
          <cell r="D260">
            <v>490</v>
          </cell>
          <cell r="E260" t="str">
            <v>M1</v>
          </cell>
          <cell r="F260" t="str">
            <v>call BPA</v>
          </cell>
          <cell r="G260" t="str">
            <v>Ceramic Metal Halide, 1-39W, 1-Elec</v>
          </cell>
          <cell r="Q260" t="str">
            <v>No Default</v>
          </cell>
          <cell r="R260" t="str">
            <v>No Default</v>
          </cell>
          <cell r="S260" t="str">
            <v>No Default</v>
          </cell>
        </row>
        <row r="261">
          <cell r="B261" t="str">
            <v>MR-16 or MRC-16 Halogen Display Lamps, 40W</v>
          </cell>
          <cell r="C261">
            <v>40</v>
          </cell>
          <cell r="D261">
            <v>600</v>
          </cell>
          <cell r="E261" t="str">
            <v>M1</v>
          </cell>
          <cell r="F261" t="str">
            <v>call BPA</v>
          </cell>
          <cell r="G261" t="str">
            <v>Ceramic Metal Halide, 1-70W, 1-Elec</v>
          </cell>
          <cell r="Q261" t="str">
            <v>No Default</v>
          </cell>
          <cell r="R261" t="str">
            <v>No Default</v>
          </cell>
          <cell r="S261" t="str">
            <v>No Default</v>
          </cell>
        </row>
        <row r="262">
          <cell r="B262" t="str">
            <v>MR-16 or MRC-16 Halogen Display Lamps, 50W</v>
          </cell>
          <cell r="C262">
            <v>50</v>
          </cell>
          <cell r="D262">
            <v>790</v>
          </cell>
          <cell r="E262" t="str">
            <v>M1</v>
          </cell>
          <cell r="F262" t="str">
            <v>call BPA</v>
          </cell>
          <cell r="G262" t="str">
            <v>Ceramic Metal Halide, 1-100W, 1-Elec</v>
          </cell>
          <cell r="Q262" t="str">
            <v>No Default</v>
          </cell>
          <cell r="R262" t="str">
            <v>No Default</v>
          </cell>
          <cell r="S262" t="str">
            <v>No Default</v>
          </cell>
        </row>
        <row r="263">
          <cell r="B263" t="str">
            <v>MR-16 or MRC-16 Halogen Display Lamps, 75W</v>
          </cell>
          <cell r="C263">
            <v>75</v>
          </cell>
          <cell r="D263">
            <v>1320</v>
          </cell>
          <cell r="E263" t="str">
            <v>M1</v>
          </cell>
          <cell r="F263" t="str">
            <v>call BPA</v>
          </cell>
          <cell r="G263" t="str">
            <v>Ceramic Metal Halide, 1-150W, 1-Elec</v>
          </cell>
          <cell r="Q263" t="str">
            <v>No Default</v>
          </cell>
          <cell r="R263" t="str">
            <v>No Default</v>
          </cell>
          <cell r="S263" t="str">
            <v>No Default</v>
          </cell>
        </row>
        <row r="264">
          <cell r="B264" t="str">
            <v>=================================</v>
          </cell>
        </row>
        <row r="265">
          <cell r="B265" t="str">
            <v>ENTER OTHER NON-STANDARD MEASURES BELOW</v>
          </cell>
        </row>
        <row r="266">
          <cell r="B266" t="str">
            <v>=================================</v>
          </cell>
        </row>
        <row r="267">
          <cell r="G267" t="str">
            <v>Explain use of these measures and BPA approval in notes column on site audit tab.</v>
          </cell>
        </row>
        <row r="268">
          <cell r="G268" t="str">
            <v>Explain use of these measures and BPA approval in notes column on site audit tab.</v>
          </cell>
        </row>
        <row r="269">
          <cell r="G269" t="str">
            <v>Explain use of these measures and BPA approval in notes column on site audit tab.</v>
          </cell>
        </row>
        <row r="270">
          <cell r="B270" t="str">
            <v>=================================</v>
          </cell>
        </row>
      </sheetData>
      <sheetData sheetId="8">
        <row r="7">
          <cell r="G7">
            <v>0.04</v>
          </cell>
        </row>
      </sheetData>
      <sheetData sheetId="9">
        <row r="2">
          <cell r="D2">
            <v>1</v>
          </cell>
        </row>
        <row r="5">
          <cell r="D5" t="str">
            <v>Enter information on Input Sheet</v>
          </cell>
          <cell r="E5" t="str">
            <v>Enter information on Input Sheet</v>
          </cell>
        </row>
        <row r="6">
          <cell r="D6" t="str">
            <v xml:space="preserve"> Office 20,000 to 100,000 sf</v>
          </cell>
          <cell r="E6" t="str">
            <v>Electric Resistance, No AC</v>
          </cell>
        </row>
        <row r="7">
          <cell r="D7" t="str">
            <v xml:space="preserve"> Office &gt;100,000 sf</v>
          </cell>
          <cell r="E7" t="str">
            <v>Electric Resistance, w/ AC</v>
          </cell>
        </row>
        <row r="8">
          <cell r="D8" t="str">
            <v xml:space="preserve"> Office &lt;20,000 sf</v>
          </cell>
          <cell r="E8" t="str">
            <v>Heat Pump</v>
          </cell>
        </row>
        <row r="9">
          <cell r="D9" t="str">
            <v xml:space="preserve"> Retail Big Box &gt;50,000 sf One-Story</v>
          </cell>
          <cell r="E9" t="str">
            <v>Gas Heat, No Air Cond.</v>
          </cell>
        </row>
        <row r="10">
          <cell r="D10" t="str">
            <v xml:space="preserve"> Retail 5,000 to 50,000 sf</v>
          </cell>
          <cell r="E10" t="str">
            <v>Gas w/ Air Cond.</v>
          </cell>
        </row>
        <row r="11">
          <cell r="D11" t="str">
            <v xml:space="preserve"> Retail Boutique &lt;5,000 sf</v>
          </cell>
          <cell r="E11" t="str">
            <v>Refrigerated or Cooled</v>
          </cell>
        </row>
        <row r="12">
          <cell r="D12" t="str">
            <v xml:space="preserve"> Retail Anchor Store &gt;50,000 sf Multistory</v>
          </cell>
          <cell r="E12" t="str">
            <v>Unconditioned</v>
          </cell>
        </row>
        <row r="13">
          <cell r="D13" t="str">
            <v xml:space="preserve"> School K-12</v>
          </cell>
        </row>
        <row r="14">
          <cell r="D14" t="str">
            <v xml:space="preserve"> College or University</v>
          </cell>
        </row>
        <row r="15">
          <cell r="D15" t="str">
            <v xml:space="preserve"> Warehouse</v>
          </cell>
        </row>
        <row r="16">
          <cell r="D16" t="str">
            <v xml:space="preserve"> Retail Supermarket</v>
          </cell>
        </row>
        <row r="17">
          <cell r="D17" t="str">
            <v xml:space="preserve"> Retail Mini Mart</v>
          </cell>
        </row>
        <row r="18">
          <cell r="D18" t="str">
            <v xml:space="preserve"> Restaurant</v>
          </cell>
        </row>
        <row r="19">
          <cell r="D19" t="str">
            <v xml:space="preserve"> Lodging</v>
          </cell>
        </row>
        <row r="20">
          <cell r="D20" t="str">
            <v xml:space="preserve"> Hospital</v>
          </cell>
        </row>
        <row r="21">
          <cell r="D21" t="str">
            <v xml:space="preserve"> Other Health, Nursing, Medical Clinic</v>
          </cell>
        </row>
        <row r="22">
          <cell r="D22" t="str">
            <v xml:space="preserve"> Other Commercial</v>
          </cell>
        </row>
        <row r="23">
          <cell r="D23" t="str">
            <v>Industrial Plant with One Shift</v>
          </cell>
        </row>
        <row r="24">
          <cell r="D24" t="str">
            <v>Industrial Plant with Three Shifts</v>
          </cell>
        </row>
        <row r="25">
          <cell r="D25" t="str">
            <v>Industrial Plant with Two Shifts</v>
          </cell>
        </row>
        <row r="26">
          <cell r="D26" t="str">
            <v>Exterior 24 Hour Operation</v>
          </cell>
        </row>
        <row r="27">
          <cell r="D27" t="str">
            <v>Street &amp; Area Lighting (Photo Sensor Controlled)</v>
          </cell>
        </row>
      </sheetData>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amp;B Retro Deemed  Measure Table"/>
      <sheetName val="L&amp;B Retrofit Bulk System Value"/>
      <sheetName val="L&amp;B New Bulk System Value"/>
      <sheetName val="ProData"/>
      <sheetName val="Generic Lamp&amp;Ballast Retrofit"/>
      <sheetName val="Generic Lamp&amp;Ballast New"/>
      <sheetName val="Specific L&amp;B Retro 2003"/>
      <sheetName val="Specific Lamp&amp;Ballast Retrofit"/>
      <sheetName val="Lamp&amp;Ballast Retrfit by Bld 03"/>
      <sheetName val="Lamp&amp;Ballast Retrfit by Bldg"/>
      <sheetName val="Building Specific Data 2003"/>
      <sheetName val="Existing Building Inputs 2003"/>
      <sheetName val="Building Specific Data"/>
      <sheetName val="Retrofit Descriptions-old"/>
      <sheetName val="Retrofit Descriptions 2003"/>
      <sheetName val="Data All"/>
      <sheetName val="Data All (old)"/>
      <sheetName val="Lamps&amp; Ballasts Data"/>
      <sheetName val="FEMP DATA"/>
      <sheetName val="Cost Data 03"/>
      <sheetName val="DOE Stds Data"/>
      <sheetName val="Stock Floorspace &amp; Use in 1993"/>
      <sheetName val="New Building Inputs"/>
      <sheetName val="Existing Building Inputs"/>
      <sheetName val="PT - L&amp;B All"/>
      <sheetName val="PT Summary"/>
      <sheetName val="Update 2004"/>
      <sheetName val="Measure Family 2003"/>
      <sheetName val="To Do"/>
    </sheetNames>
    <sheetDataSet>
      <sheetData sheetId="0">
        <row r="3">
          <cell r="B3" t="str">
            <v>System ID Tag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B3" t="str">
            <v>System ID Tag</v>
          </cell>
          <cell r="C3" t="str">
            <v>Lamp Type</v>
          </cell>
          <cell r="D3" t="str">
            <v># of Lamps</v>
          </cell>
          <cell r="E3" t="str">
            <v xml:space="preserve">LAMP_HR    </v>
          </cell>
          <cell r="F3" t="str">
            <v>lamp cost 2003</v>
          </cell>
          <cell r="G3" t="str">
            <v xml:space="preserve">$2000 AVG_LCST   </v>
          </cell>
          <cell r="H3" t="str">
            <v xml:space="preserve">LMP_TIME   </v>
          </cell>
          <cell r="I3" t="str">
            <v xml:space="preserve">BALL_HR    </v>
          </cell>
          <cell r="J3" t="str">
            <v xml:space="preserve">$2003 AVG_BCST   </v>
          </cell>
          <cell r="K3" t="str">
            <v xml:space="preserve">$2000 AVG_BCST   </v>
          </cell>
          <cell r="L3" t="str">
            <v xml:space="preserve">BAL_TIME   </v>
          </cell>
          <cell r="M3" t="str">
            <v># of Ballasts</v>
          </cell>
        </row>
        <row r="4">
          <cell r="B4" t="str">
            <v>T12 4' Fluorescent, 2-F40T12ES 34W, 1-MAG EE</v>
          </cell>
          <cell r="C4" t="str">
            <v>F40T12ES</v>
          </cell>
          <cell r="D4">
            <v>2</v>
          </cell>
          <cell r="E4">
            <v>20000</v>
          </cell>
          <cell r="F4">
            <v>1.22</v>
          </cell>
          <cell r="G4">
            <v>1.1226595744680852</v>
          </cell>
          <cell r="H4">
            <v>0.09</v>
          </cell>
          <cell r="I4">
            <v>60000</v>
          </cell>
          <cell r="J4">
            <v>12</v>
          </cell>
          <cell r="K4">
            <v>11.042553191489361</v>
          </cell>
          <cell r="L4">
            <v>0.33</v>
          </cell>
          <cell r="M4">
            <v>1</v>
          </cell>
        </row>
        <row r="5">
          <cell r="B5" t="str">
            <v>T12 4' Fluorescent, 2-F40T12ES 34W, 1-MAG EE</v>
          </cell>
          <cell r="C5" t="str">
            <v>F40T12ES</v>
          </cell>
          <cell r="D5">
            <v>2</v>
          </cell>
          <cell r="E5">
            <v>20000</v>
          </cell>
          <cell r="F5">
            <v>1.22</v>
          </cell>
          <cell r="G5">
            <v>1.1226595744680852</v>
          </cell>
          <cell r="H5">
            <v>0.09</v>
          </cell>
          <cell r="I5">
            <v>60000</v>
          </cell>
          <cell r="J5">
            <v>12</v>
          </cell>
          <cell r="K5">
            <v>11.042553191489361</v>
          </cell>
          <cell r="L5">
            <v>0.33</v>
          </cell>
          <cell r="M5">
            <v>1</v>
          </cell>
        </row>
        <row r="6">
          <cell r="B6" t="str">
            <v>T12 4' Fluorescent, 1-F40T12ES 34W, 1-MAG EE</v>
          </cell>
          <cell r="C6" t="str">
            <v>F40T12ES</v>
          </cell>
          <cell r="D6">
            <v>1</v>
          </cell>
          <cell r="E6">
            <v>20000</v>
          </cell>
          <cell r="F6">
            <v>1.22</v>
          </cell>
          <cell r="G6">
            <v>1.1226595744680852</v>
          </cell>
          <cell r="H6">
            <v>0.09</v>
          </cell>
          <cell r="I6">
            <v>60000</v>
          </cell>
          <cell r="J6">
            <v>12</v>
          </cell>
          <cell r="K6">
            <v>11.042553191489361</v>
          </cell>
          <cell r="L6">
            <v>0.33</v>
          </cell>
          <cell r="M6">
            <v>1</v>
          </cell>
        </row>
        <row r="7">
          <cell r="B7" t="str">
            <v>T12 4' Fluorescent, 3-F40T12ES 34W, 2-MAG EE</v>
          </cell>
          <cell r="C7" t="str">
            <v>F40T12ES</v>
          </cell>
          <cell r="D7">
            <v>3</v>
          </cell>
          <cell r="E7">
            <v>20000</v>
          </cell>
          <cell r="F7">
            <v>1.22</v>
          </cell>
          <cell r="G7">
            <v>1.1226595744680852</v>
          </cell>
          <cell r="H7">
            <v>0.09</v>
          </cell>
          <cell r="I7">
            <v>60000</v>
          </cell>
          <cell r="J7">
            <v>13</v>
          </cell>
          <cell r="K7">
            <v>11.962765957446809</v>
          </cell>
          <cell r="L7">
            <v>0.42</v>
          </cell>
          <cell r="M7">
            <v>2</v>
          </cell>
        </row>
        <row r="8">
          <cell r="B8" t="str">
            <v>T12 4' Fluorescent, 3-F40T12ES 34W, 2-MAG EE</v>
          </cell>
          <cell r="C8" t="str">
            <v>F40T12ES</v>
          </cell>
          <cell r="D8">
            <v>3</v>
          </cell>
          <cell r="E8">
            <v>20000</v>
          </cell>
          <cell r="F8">
            <v>1.22</v>
          </cell>
          <cell r="G8">
            <v>1.1226595744680852</v>
          </cell>
          <cell r="H8">
            <v>0.09</v>
          </cell>
          <cell r="I8">
            <v>60000</v>
          </cell>
          <cell r="J8">
            <v>13</v>
          </cell>
          <cell r="K8">
            <v>11.962765957446809</v>
          </cell>
          <cell r="L8">
            <v>0.42</v>
          </cell>
          <cell r="M8">
            <v>2</v>
          </cell>
        </row>
        <row r="9">
          <cell r="B9" t="str">
            <v>T12 4' Fluorescent, 4-F40T12ES 34W, 2-MAG EE</v>
          </cell>
          <cell r="C9" t="str">
            <v>F40T12ES</v>
          </cell>
          <cell r="D9">
            <v>4</v>
          </cell>
          <cell r="E9">
            <v>20000</v>
          </cell>
          <cell r="F9">
            <v>1.22</v>
          </cell>
          <cell r="G9">
            <v>1.1226595744680852</v>
          </cell>
          <cell r="H9">
            <v>0.09</v>
          </cell>
          <cell r="I9">
            <v>60000</v>
          </cell>
          <cell r="J9">
            <v>13</v>
          </cell>
          <cell r="K9">
            <v>11.962765957446809</v>
          </cell>
          <cell r="L9">
            <v>0.42</v>
          </cell>
          <cell r="M9">
            <v>2</v>
          </cell>
        </row>
        <row r="10">
          <cell r="B10" t="str">
            <v>T12 4' Fluorescent, 4-F40T12ES 34W, 2-MAG EE</v>
          </cell>
          <cell r="C10" t="str">
            <v>F40T12ES</v>
          </cell>
          <cell r="D10">
            <v>4</v>
          </cell>
          <cell r="E10">
            <v>20000</v>
          </cell>
          <cell r="F10">
            <v>1.22</v>
          </cell>
          <cell r="G10">
            <v>1.1226595744680852</v>
          </cell>
          <cell r="H10">
            <v>0.09</v>
          </cell>
          <cell r="I10">
            <v>60000</v>
          </cell>
          <cell r="J10">
            <v>13</v>
          </cell>
          <cell r="K10">
            <v>11.962765957446809</v>
          </cell>
          <cell r="L10">
            <v>0.42</v>
          </cell>
          <cell r="M10">
            <v>2</v>
          </cell>
        </row>
        <row r="11">
          <cell r="B11" t="str">
            <v>T12 8' Fluorescent, 1-F96T12ES 60W, 1-MAG</v>
          </cell>
          <cell r="C11" t="str">
            <v>F96T12ES</v>
          </cell>
          <cell r="D11">
            <v>1</v>
          </cell>
          <cell r="E11">
            <v>12000</v>
          </cell>
          <cell r="F11">
            <v>6.52</v>
          </cell>
          <cell r="G11">
            <v>5.9997872340425529</v>
          </cell>
          <cell r="H11">
            <v>0.09</v>
          </cell>
          <cell r="I11">
            <v>60000</v>
          </cell>
          <cell r="J11">
            <v>21</v>
          </cell>
          <cell r="K11">
            <v>19.324468085106382</v>
          </cell>
          <cell r="L11">
            <v>0.33</v>
          </cell>
          <cell r="M11">
            <v>1</v>
          </cell>
        </row>
        <row r="12">
          <cell r="B12" t="str">
            <v>T12 8' Fluorescent, 1-F96T12HOES 95W, 1-MAG</v>
          </cell>
          <cell r="C12" t="str">
            <v>F96T12HOES</v>
          </cell>
          <cell r="D12">
            <v>1</v>
          </cell>
          <cell r="E12">
            <v>12000</v>
          </cell>
          <cell r="F12">
            <v>7.63</v>
          </cell>
          <cell r="G12">
            <v>7.021223404255319</v>
          </cell>
          <cell r="H12">
            <v>0.09</v>
          </cell>
          <cell r="I12">
            <v>60000</v>
          </cell>
          <cell r="J12">
            <v>21</v>
          </cell>
          <cell r="K12">
            <v>19.324468085106382</v>
          </cell>
          <cell r="L12">
            <v>0.33</v>
          </cell>
          <cell r="M12">
            <v>1</v>
          </cell>
        </row>
        <row r="13">
          <cell r="B13" t="str">
            <v>T12 8' Fluorescent, 1-F96T12VHOES 185W, 1-MAG</v>
          </cell>
          <cell r="C13" t="str">
            <v>F96T12VHOES</v>
          </cell>
          <cell r="D13">
            <v>1</v>
          </cell>
          <cell r="E13">
            <v>12000</v>
          </cell>
          <cell r="F13">
            <v>12.58</v>
          </cell>
          <cell r="G13">
            <v>11.576276595744682</v>
          </cell>
          <cell r="H13">
            <v>0.09</v>
          </cell>
          <cell r="I13">
            <v>60000</v>
          </cell>
          <cell r="J13">
            <v>21</v>
          </cell>
          <cell r="K13">
            <v>19.324468085106382</v>
          </cell>
          <cell r="L13">
            <v>0.33</v>
          </cell>
          <cell r="M13">
            <v>1</v>
          </cell>
        </row>
        <row r="14">
          <cell r="B14" t="str">
            <v>T12 8' Fluorescent, 2-F96T12ES 60W, 1-MAG EE</v>
          </cell>
          <cell r="C14" t="str">
            <v>F96T12ES</v>
          </cell>
          <cell r="D14">
            <v>2</v>
          </cell>
          <cell r="E14">
            <v>12000</v>
          </cell>
          <cell r="F14">
            <v>6.52</v>
          </cell>
          <cell r="G14">
            <v>5.9997872340425529</v>
          </cell>
          <cell r="H14">
            <v>0.09</v>
          </cell>
          <cell r="I14">
            <v>60000</v>
          </cell>
          <cell r="J14">
            <v>23</v>
          </cell>
          <cell r="K14">
            <v>21.164893617021278</v>
          </cell>
          <cell r="L14">
            <v>0.33</v>
          </cell>
          <cell r="M14">
            <v>1</v>
          </cell>
        </row>
        <row r="15">
          <cell r="B15" t="str">
            <v>T12 8' Fluorescent, 2-F96T12ES 60W, 1-MAG EE</v>
          </cell>
          <cell r="C15" t="str">
            <v>F96T12ES</v>
          </cell>
          <cell r="D15">
            <v>2</v>
          </cell>
          <cell r="E15">
            <v>12000</v>
          </cell>
          <cell r="F15">
            <v>6.52</v>
          </cell>
          <cell r="G15">
            <v>5.9997872340425529</v>
          </cell>
          <cell r="H15">
            <v>0.09</v>
          </cell>
          <cell r="I15">
            <v>60000</v>
          </cell>
          <cell r="J15">
            <v>23</v>
          </cell>
          <cell r="K15">
            <v>21.164893617021278</v>
          </cell>
          <cell r="L15">
            <v>0.33</v>
          </cell>
          <cell r="M15">
            <v>1</v>
          </cell>
        </row>
        <row r="16">
          <cell r="B16" t="str">
            <v>T12 8' Fluorescent, 2-F96T12HOES 95W, 1-MAG</v>
          </cell>
          <cell r="C16" t="str">
            <v>F96T12HOES</v>
          </cell>
          <cell r="D16">
            <v>2</v>
          </cell>
          <cell r="E16">
            <v>12000</v>
          </cell>
          <cell r="F16">
            <v>7.63</v>
          </cell>
          <cell r="G16">
            <v>7.021223404255319</v>
          </cell>
          <cell r="H16">
            <v>0.09</v>
          </cell>
          <cell r="I16">
            <v>60000</v>
          </cell>
          <cell r="J16">
            <v>41</v>
          </cell>
          <cell r="K16">
            <v>37.728723404255319</v>
          </cell>
          <cell r="L16">
            <v>0.33</v>
          </cell>
          <cell r="M16">
            <v>1</v>
          </cell>
        </row>
        <row r="17">
          <cell r="B17" t="str">
            <v>T12 8' Fluorescent, 2-F96T12VHOES 185W, 1-MAG</v>
          </cell>
          <cell r="C17" t="str">
            <v>F96T12VHOES</v>
          </cell>
          <cell r="D17">
            <v>2</v>
          </cell>
          <cell r="E17">
            <v>10000</v>
          </cell>
          <cell r="F17">
            <v>12.58</v>
          </cell>
          <cell r="G17">
            <v>11.576276595744682</v>
          </cell>
          <cell r="H17">
            <v>0.09</v>
          </cell>
          <cell r="I17">
            <v>60000</v>
          </cell>
          <cell r="J17">
            <v>63</v>
          </cell>
          <cell r="K17">
            <v>57.973404255319153</v>
          </cell>
          <cell r="L17">
            <v>0.33</v>
          </cell>
          <cell r="M17">
            <v>1</v>
          </cell>
        </row>
        <row r="18">
          <cell r="B18" t="str">
            <v>T12 8' Fluorescent, 2-F96T12VHOES 185W, 1-MAG</v>
          </cell>
          <cell r="C18" t="str">
            <v>F96T12VHOES</v>
          </cell>
          <cell r="D18">
            <v>2</v>
          </cell>
          <cell r="E18">
            <v>10000</v>
          </cell>
          <cell r="F18">
            <v>12.58</v>
          </cell>
          <cell r="G18">
            <v>11.576276595744682</v>
          </cell>
          <cell r="H18">
            <v>0.09</v>
          </cell>
          <cell r="I18">
            <v>60000</v>
          </cell>
          <cell r="J18">
            <v>63</v>
          </cell>
          <cell r="K18">
            <v>57.973404255319153</v>
          </cell>
          <cell r="L18">
            <v>0.33</v>
          </cell>
          <cell r="M18">
            <v>1</v>
          </cell>
        </row>
        <row r="19">
          <cell r="B19" t="str">
            <v>T8 Fluorescent, 2-F32T8 32W, 1-ELEC</v>
          </cell>
          <cell r="C19" t="str">
            <v>F32T8</v>
          </cell>
          <cell r="D19">
            <v>2</v>
          </cell>
          <cell r="E19">
            <v>24000</v>
          </cell>
          <cell r="F19">
            <v>2.5</v>
          </cell>
          <cell r="G19">
            <v>2.3005319148936172</v>
          </cell>
          <cell r="H19">
            <v>0.09</v>
          </cell>
          <cell r="I19">
            <v>60000</v>
          </cell>
          <cell r="J19">
            <v>12</v>
          </cell>
          <cell r="K19">
            <v>11.042553191489361</v>
          </cell>
          <cell r="L19">
            <v>0.33</v>
          </cell>
          <cell r="M19">
            <v>1</v>
          </cell>
        </row>
        <row r="20">
          <cell r="B20" t="str">
            <v>T8 Fluorescent, 3-F32T8 32W, 1-ELEC</v>
          </cell>
          <cell r="C20" t="str">
            <v>F32T8</v>
          </cell>
          <cell r="D20">
            <v>3</v>
          </cell>
          <cell r="E20">
            <v>24000</v>
          </cell>
          <cell r="F20">
            <v>2.5</v>
          </cell>
          <cell r="G20">
            <v>2.3005319148936172</v>
          </cell>
          <cell r="H20">
            <v>0.09</v>
          </cell>
          <cell r="I20">
            <v>60000</v>
          </cell>
          <cell r="J20">
            <v>14</v>
          </cell>
          <cell r="K20">
            <v>12.882978723404255</v>
          </cell>
          <cell r="L20">
            <v>0.33</v>
          </cell>
          <cell r="M20">
            <v>1</v>
          </cell>
        </row>
        <row r="21">
          <cell r="B21" t="str">
            <v>T8 Fluorescent, 3-F32T8 32W, 1-ELEC</v>
          </cell>
          <cell r="C21" t="str">
            <v>F32T8</v>
          </cell>
          <cell r="D21">
            <v>3</v>
          </cell>
          <cell r="E21">
            <v>24000</v>
          </cell>
          <cell r="F21">
            <v>2.5</v>
          </cell>
          <cell r="G21">
            <v>2.3005319148936172</v>
          </cell>
          <cell r="H21">
            <v>0.09</v>
          </cell>
          <cell r="I21">
            <v>60000</v>
          </cell>
          <cell r="J21">
            <v>14</v>
          </cell>
          <cell r="K21">
            <v>12.882978723404255</v>
          </cell>
          <cell r="L21">
            <v>0.33</v>
          </cell>
          <cell r="M21">
            <v>1</v>
          </cell>
        </row>
        <row r="22">
          <cell r="B22" t="str">
            <v>T8 Fluorescent, 4-F32T8 32W, 1-ELEC</v>
          </cell>
          <cell r="C22" t="str">
            <v>F32T8</v>
          </cell>
          <cell r="D22">
            <v>4</v>
          </cell>
          <cell r="E22">
            <v>24000</v>
          </cell>
          <cell r="F22">
            <v>2.5</v>
          </cell>
          <cell r="G22">
            <v>2.3005319148936172</v>
          </cell>
          <cell r="H22">
            <v>0.09</v>
          </cell>
          <cell r="I22">
            <v>60000</v>
          </cell>
          <cell r="J22">
            <v>15</v>
          </cell>
          <cell r="K22">
            <v>13.803191489361703</v>
          </cell>
          <cell r="L22">
            <v>0.33</v>
          </cell>
          <cell r="M22">
            <v>1</v>
          </cell>
        </row>
        <row r="23">
          <cell r="B23" t="str">
            <v>T8 Fluorescent, 4-F32T8 32W, 1-ELEC</v>
          </cell>
          <cell r="C23" t="str">
            <v>F32T8</v>
          </cell>
          <cell r="D23">
            <v>4</v>
          </cell>
          <cell r="E23">
            <v>24000</v>
          </cell>
          <cell r="F23">
            <v>2.5</v>
          </cell>
          <cell r="G23">
            <v>2.3005319148936172</v>
          </cell>
          <cell r="H23">
            <v>0.09</v>
          </cell>
          <cell r="I23">
            <v>60000</v>
          </cell>
          <cell r="J23">
            <v>15</v>
          </cell>
          <cell r="K23">
            <v>13.803191489361703</v>
          </cell>
          <cell r="L23">
            <v>0.33</v>
          </cell>
          <cell r="M23">
            <v>1</v>
          </cell>
        </row>
        <row r="24">
          <cell r="B24" t="str">
            <v>T8 Fluorescent, 2-F96T8HO 86W, 1-ELEC</v>
          </cell>
          <cell r="C24" t="str">
            <v>F96T8HO</v>
          </cell>
          <cell r="D24">
            <v>2</v>
          </cell>
          <cell r="E24">
            <v>10000</v>
          </cell>
          <cell r="F24">
            <v>12.61</v>
          </cell>
          <cell r="G24">
            <v>11.603882978723403</v>
          </cell>
          <cell r="H24">
            <v>0.09</v>
          </cell>
          <cell r="I24">
            <v>45000</v>
          </cell>
          <cell r="J24">
            <v>21</v>
          </cell>
          <cell r="K24">
            <v>19.324468085106382</v>
          </cell>
          <cell r="L24">
            <v>0.33</v>
          </cell>
          <cell r="M24">
            <v>1</v>
          </cell>
        </row>
        <row r="25">
          <cell r="B25" t="str">
            <v>Metal Halide, 1-STD 1000W, 1-MAG</v>
          </cell>
          <cell r="C25" t="str">
            <v>STD</v>
          </cell>
          <cell r="D25">
            <v>1</v>
          </cell>
          <cell r="E25">
            <v>12000</v>
          </cell>
          <cell r="F25">
            <v>45</v>
          </cell>
          <cell r="G25">
            <v>41.409574468085104</v>
          </cell>
          <cell r="H25">
            <v>0.4</v>
          </cell>
          <cell r="I25">
            <v>45000</v>
          </cell>
          <cell r="J25">
            <v>50</v>
          </cell>
          <cell r="K25">
            <v>46.01063829787234</v>
          </cell>
          <cell r="L25">
            <v>1.4</v>
          </cell>
          <cell r="M25">
            <v>1</v>
          </cell>
        </row>
        <row r="26">
          <cell r="B26" t="str">
            <v>Metal Halide, 1-STD 100W, 1-MAG</v>
          </cell>
          <cell r="C26" t="str">
            <v>STD</v>
          </cell>
          <cell r="D26">
            <v>1</v>
          </cell>
          <cell r="E26">
            <v>10000</v>
          </cell>
          <cell r="F26">
            <v>20</v>
          </cell>
          <cell r="G26">
            <v>18.404255319148938</v>
          </cell>
          <cell r="H26">
            <v>0.4</v>
          </cell>
          <cell r="I26">
            <v>45000</v>
          </cell>
          <cell r="J26">
            <v>50</v>
          </cell>
          <cell r="K26">
            <v>46.01063829787234</v>
          </cell>
          <cell r="L26">
            <v>1.4</v>
          </cell>
          <cell r="M26">
            <v>1</v>
          </cell>
        </row>
        <row r="27">
          <cell r="B27" t="str">
            <v>Metal Halide, 1-STD 150W, 1-MAG</v>
          </cell>
          <cell r="C27" t="str">
            <v>STD</v>
          </cell>
          <cell r="D27">
            <v>1</v>
          </cell>
          <cell r="E27">
            <v>10000</v>
          </cell>
          <cell r="F27">
            <v>20</v>
          </cell>
          <cell r="G27">
            <v>18.404255319148938</v>
          </cell>
          <cell r="H27">
            <v>0.4</v>
          </cell>
          <cell r="I27">
            <v>45000</v>
          </cell>
          <cell r="J27">
            <v>45</v>
          </cell>
          <cell r="K27">
            <v>41.409574468085104</v>
          </cell>
          <cell r="L27">
            <v>1.4</v>
          </cell>
          <cell r="M27">
            <v>1</v>
          </cell>
        </row>
        <row r="28">
          <cell r="B28" t="str">
            <v>Metal Halide, 1-STD 175W, 1-MAG</v>
          </cell>
          <cell r="C28" t="str">
            <v>STD</v>
          </cell>
          <cell r="D28">
            <v>1</v>
          </cell>
          <cell r="E28">
            <v>10000</v>
          </cell>
          <cell r="F28">
            <v>20</v>
          </cell>
          <cell r="G28">
            <v>18.404255319148938</v>
          </cell>
          <cell r="H28">
            <v>0.4</v>
          </cell>
          <cell r="I28">
            <v>45000</v>
          </cell>
          <cell r="J28">
            <v>48</v>
          </cell>
          <cell r="K28">
            <v>44.170212765957444</v>
          </cell>
          <cell r="L28">
            <v>1.4</v>
          </cell>
          <cell r="M28">
            <v>1</v>
          </cell>
        </row>
        <row r="29">
          <cell r="B29" t="str">
            <v>Metal Halide, 1-STD 250W, 1-MAG</v>
          </cell>
          <cell r="C29" t="str">
            <v>STD</v>
          </cell>
          <cell r="D29">
            <v>1</v>
          </cell>
          <cell r="E29">
            <v>10000</v>
          </cell>
          <cell r="F29">
            <v>20</v>
          </cell>
          <cell r="G29">
            <v>18.404255319148938</v>
          </cell>
          <cell r="H29">
            <v>0.4</v>
          </cell>
          <cell r="I29">
            <v>45000</v>
          </cell>
          <cell r="J29">
            <v>61</v>
          </cell>
          <cell r="K29">
            <v>56.132978723404257</v>
          </cell>
          <cell r="L29">
            <v>1.4</v>
          </cell>
          <cell r="M29">
            <v>1</v>
          </cell>
        </row>
        <row r="30">
          <cell r="B30" t="str">
            <v>Metal Halide, 1-STD 400W, 1-MAG</v>
          </cell>
          <cell r="C30" t="str">
            <v>STD</v>
          </cell>
          <cell r="D30">
            <v>1</v>
          </cell>
          <cell r="E30">
            <v>12000</v>
          </cell>
          <cell r="F30">
            <v>20</v>
          </cell>
          <cell r="G30">
            <v>18.404255319148938</v>
          </cell>
          <cell r="H30">
            <v>0.4</v>
          </cell>
          <cell r="I30">
            <v>45000</v>
          </cell>
          <cell r="J30">
            <v>50</v>
          </cell>
          <cell r="K30">
            <v>46.01063829787234</v>
          </cell>
          <cell r="L30">
            <v>1.4</v>
          </cell>
          <cell r="M30">
            <v>1</v>
          </cell>
        </row>
        <row r="31">
          <cell r="B31" t="str">
            <v>Metal Halide, 1-STD 50W, 1-MAG</v>
          </cell>
          <cell r="C31" t="str">
            <v>STD</v>
          </cell>
          <cell r="D31">
            <v>1</v>
          </cell>
          <cell r="E31">
            <v>10000</v>
          </cell>
          <cell r="F31">
            <v>25</v>
          </cell>
          <cell r="G31">
            <v>23.00531914893617</v>
          </cell>
          <cell r="H31">
            <v>0.4</v>
          </cell>
          <cell r="I31">
            <v>45000</v>
          </cell>
          <cell r="J31">
            <v>25</v>
          </cell>
          <cell r="K31">
            <v>23.00531914893617</v>
          </cell>
          <cell r="L31">
            <v>1.4</v>
          </cell>
          <cell r="M31">
            <v>1</v>
          </cell>
        </row>
        <row r="32">
          <cell r="B32" t="str">
            <v>Metal Halide, 1-STD 70W, 1-MAG</v>
          </cell>
          <cell r="C32" t="str">
            <v>STD</v>
          </cell>
          <cell r="D32">
            <v>1</v>
          </cell>
          <cell r="E32">
            <v>10000</v>
          </cell>
          <cell r="F32">
            <v>25</v>
          </cell>
          <cell r="G32">
            <v>23.00531914893617</v>
          </cell>
          <cell r="H32">
            <v>0.4</v>
          </cell>
          <cell r="I32">
            <v>45000</v>
          </cell>
          <cell r="J32">
            <v>25</v>
          </cell>
          <cell r="K32">
            <v>23.00531914893617</v>
          </cell>
          <cell r="L32">
            <v>1.4</v>
          </cell>
          <cell r="M32">
            <v>1</v>
          </cell>
        </row>
        <row r="33">
          <cell r="B33" t="str">
            <v>Incandescent, 1-PS40 500W, 1-None</v>
          </cell>
          <cell r="C33" t="str">
            <v>PS40</v>
          </cell>
          <cell r="D33">
            <v>1</v>
          </cell>
          <cell r="G33">
            <v>0</v>
          </cell>
          <cell r="K33">
            <v>0</v>
          </cell>
          <cell r="M33">
            <v>1</v>
          </cell>
        </row>
        <row r="34">
          <cell r="B34" t="str">
            <v>Incandescent, 1-PAR 150W, 1-None</v>
          </cell>
          <cell r="C34" t="str">
            <v>PAR</v>
          </cell>
          <cell r="D34">
            <v>1</v>
          </cell>
          <cell r="E34">
            <v>1750</v>
          </cell>
          <cell r="F34">
            <v>4.3499999999999996</v>
          </cell>
          <cell r="G34">
            <v>4.0029255319148938</v>
          </cell>
          <cell r="H34">
            <v>0.09</v>
          </cell>
          <cell r="K34">
            <v>0</v>
          </cell>
          <cell r="M34">
            <v>1</v>
          </cell>
        </row>
        <row r="35">
          <cell r="B35" t="str">
            <v>Incandescent, 1-R 150W, 1-None</v>
          </cell>
          <cell r="C35" t="str">
            <v>R</v>
          </cell>
          <cell r="D35">
            <v>1</v>
          </cell>
          <cell r="E35">
            <v>2000</v>
          </cell>
          <cell r="F35">
            <v>7</v>
          </cell>
          <cell r="G35">
            <v>6.4414893617021276</v>
          </cell>
          <cell r="H35">
            <v>0.09</v>
          </cell>
          <cell r="K35">
            <v>0</v>
          </cell>
          <cell r="M35">
            <v>1</v>
          </cell>
        </row>
        <row r="36">
          <cell r="B36" t="str">
            <v>Incandescent, 1-PAR 100W, 1-None</v>
          </cell>
          <cell r="C36" t="str">
            <v>PAR</v>
          </cell>
          <cell r="D36">
            <v>1</v>
          </cell>
          <cell r="E36">
            <v>2000</v>
          </cell>
          <cell r="F36">
            <v>4</v>
          </cell>
          <cell r="G36">
            <v>3.6808510638297873</v>
          </cell>
          <cell r="H36">
            <v>0.09</v>
          </cell>
          <cell r="K36">
            <v>0</v>
          </cell>
          <cell r="M36">
            <v>1</v>
          </cell>
        </row>
        <row r="37">
          <cell r="B37" t="str">
            <v>Mercury Vapor, 1-STD 1000W, 1-MAG</v>
          </cell>
          <cell r="C37" t="str">
            <v>STD</v>
          </cell>
          <cell r="D37">
            <v>1</v>
          </cell>
          <cell r="E37">
            <v>24000</v>
          </cell>
          <cell r="F37">
            <v>57</v>
          </cell>
          <cell r="G37">
            <v>52.452127659574472</v>
          </cell>
          <cell r="H37">
            <v>0.4</v>
          </cell>
          <cell r="I37">
            <v>45000</v>
          </cell>
          <cell r="J37">
            <v>50</v>
          </cell>
          <cell r="K37">
            <v>46.01063829787234</v>
          </cell>
          <cell r="L37">
            <v>1.4</v>
          </cell>
          <cell r="M37">
            <v>1</v>
          </cell>
        </row>
        <row r="38">
          <cell r="B38" t="str">
            <v>Mercury Vapor, 1-STD 100W, 1-MAG</v>
          </cell>
          <cell r="C38" t="str">
            <v>STD</v>
          </cell>
          <cell r="D38">
            <v>1</v>
          </cell>
          <cell r="E38">
            <v>24000</v>
          </cell>
          <cell r="F38">
            <v>20</v>
          </cell>
          <cell r="G38">
            <v>18.404255319148938</v>
          </cell>
          <cell r="H38">
            <v>0.4</v>
          </cell>
          <cell r="I38">
            <v>45000</v>
          </cell>
          <cell r="J38">
            <v>50</v>
          </cell>
          <cell r="K38">
            <v>46.01063829787234</v>
          </cell>
          <cell r="L38">
            <v>1.4</v>
          </cell>
          <cell r="M38">
            <v>1</v>
          </cell>
        </row>
        <row r="39">
          <cell r="B39" t="str">
            <v>Mercury Vapor, 1-STD 175W, 1-MAG</v>
          </cell>
          <cell r="C39" t="str">
            <v>STD</v>
          </cell>
          <cell r="D39">
            <v>1</v>
          </cell>
          <cell r="E39">
            <v>24000</v>
          </cell>
          <cell r="F39">
            <v>16</v>
          </cell>
          <cell r="G39">
            <v>14.723404255319149</v>
          </cell>
          <cell r="H39">
            <v>0.4</v>
          </cell>
          <cell r="I39">
            <v>45000</v>
          </cell>
          <cell r="J39">
            <v>50</v>
          </cell>
          <cell r="K39">
            <v>46.01063829787234</v>
          </cell>
          <cell r="L39">
            <v>1.4</v>
          </cell>
          <cell r="M39">
            <v>1</v>
          </cell>
        </row>
        <row r="40">
          <cell r="B40" t="str">
            <v>Mercury Vapor, 1-STD 250W, 1-MAG</v>
          </cell>
          <cell r="C40" t="str">
            <v>STD</v>
          </cell>
          <cell r="D40">
            <v>1</v>
          </cell>
          <cell r="E40">
            <v>24000</v>
          </cell>
          <cell r="F40">
            <v>12</v>
          </cell>
          <cell r="G40">
            <v>11.042553191489361</v>
          </cell>
          <cell r="H40">
            <v>0.4</v>
          </cell>
          <cell r="I40">
            <v>45000</v>
          </cell>
          <cell r="J40">
            <v>50</v>
          </cell>
          <cell r="K40">
            <v>46.01063829787234</v>
          </cell>
          <cell r="L40">
            <v>1.4</v>
          </cell>
          <cell r="M40">
            <v>1</v>
          </cell>
        </row>
        <row r="41">
          <cell r="B41" t="str">
            <v>Mercury Vapor, 1-STD 400W, 1-MAG</v>
          </cell>
          <cell r="C41" t="str">
            <v>STD</v>
          </cell>
          <cell r="D41">
            <v>1</v>
          </cell>
          <cell r="E41">
            <v>24000</v>
          </cell>
          <cell r="F41">
            <v>23</v>
          </cell>
          <cell r="G41">
            <v>21.164893617021278</v>
          </cell>
          <cell r="H41">
            <v>0.4</v>
          </cell>
          <cell r="I41">
            <v>45000</v>
          </cell>
          <cell r="J41">
            <v>50</v>
          </cell>
          <cell r="K41">
            <v>46.01063829787234</v>
          </cell>
          <cell r="L41">
            <v>1.4</v>
          </cell>
          <cell r="M41">
            <v>1</v>
          </cell>
        </row>
        <row r="42">
          <cell r="B42" t="str">
            <v>T8 High Performance, 2-F32T8HP 32W, 1-ELEC HP RLO</v>
          </cell>
          <cell r="C42" t="str">
            <v>F32T8HP</v>
          </cell>
          <cell r="D42">
            <v>2</v>
          </cell>
          <cell r="E42">
            <v>30000</v>
          </cell>
          <cell r="F42">
            <v>3.25</v>
          </cell>
          <cell r="G42">
            <v>2.9906914893617023</v>
          </cell>
          <cell r="H42">
            <v>0.09</v>
          </cell>
          <cell r="I42">
            <v>60000</v>
          </cell>
          <cell r="J42">
            <v>13.8</v>
          </cell>
          <cell r="K42">
            <v>12.698936170212766</v>
          </cell>
          <cell r="L42">
            <v>0.33</v>
          </cell>
          <cell r="M42">
            <v>1</v>
          </cell>
        </row>
        <row r="43">
          <cell r="B43" t="str">
            <v>T8 High Performance, 1-F32T8HP 32W, 1-ELEC HP HLO</v>
          </cell>
          <cell r="C43" t="str">
            <v>F32T8HP</v>
          </cell>
          <cell r="D43">
            <v>1</v>
          </cell>
          <cell r="E43">
            <v>30000</v>
          </cell>
          <cell r="F43">
            <v>3.25</v>
          </cell>
          <cell r="G43">
            <v>2.9906914893617023</v>
          </cell>
          <cell r="H43">
            <v>0.09</v>
          </cell>
          <cell r="I43">
            <v>60000</v>
          </cell>
          <cell r="J43">
            <v>13.8</v>
          </cell>
          <cell r="K43">
            <v>12.698936170212766</v>
          </cell>
          <cell r="L43">
            <v>0.33</v>
          </cell>
          <cell r="M43">
            <v>1</v>
          </cell>
        </row>
        <row r="44">
          <cell r="B44" t="str">
            <v>T8 High Performance, 1-F32T8HP 32W, 1-ELEC HP RLO</v>
          </cell>
          <cell r="C44" t="str">
            <v>F32T8HP</v>
          </cell>
          <cell r="D44">
            <v>1</v>
          </cell>
          <cell r="E44">
            <v>30000</v>
          </cell>
          <cell r="F44">
            <v>3.25</v>
          </cell>
          <cell r="G44">
            <v>2.9906914893617023</v>
          </cell>
          <cell r="H44">
            <v>0.09</v>
          </cell>
          <cell r="I44">
            <v>60000</v>
          </cell>
          <cell r="J44">
            <v>13.8</v>
          </cell>
          <cell r="K44">
            <v>12.698936170212766</v>
          </cell>
          <cell r="L44">
            <v>0.33</v>
          </cell>
          <cell r="M44">
            <v>1</v>
          </cell>
        </row>
        <row r="45">
          <cell r="B45" t="str">
            <v>T8 High Performance, 2-F32T8HP 32W, 1-ELEC HP</v>
          </cell>
          <cell r="C45" t="str">
            <v>F32T8HP</v>
          </cell>
          <cell r="D45">
            <v>2</v>
          </cell>
          <cell r="E45">
            <v>30000</v>
          </cell>
          <cell r="F45">
            <v>3.25</v>
          </cell>
          <cell r="G45">
            <v>2.9906914893617023</v>
          </cell>
          <cell r="H45">
            <v>0.09</v>
          </cell>
          <cell r="I45">
            <v>60000</v>
          </cell>
          <cell r="J45">
            <v>13.8</v>
          </cell>
          <cell r="K45">
            <v>12.698936170212766</v>
          </cell>
          <cell r="L45">
            <v>0.33</v>
          </cell>
          <cell r="M45">
            <v>1</v>
          </cell>
        </row>
        <row r="46">
          <cell r="B46" t="str">
            <v>T8 High Performance, 2-F32T8HP 32W, 1-ELEC HP</v>
          </cell>
          <cell r="C46" t="str">
            <v>F32T8HP</v>
          </cell>
          <cell r="D46">
            <v>2</v>
          </cell>
          <cell r="E46">
            <v>30000</v>
          </cell>
          <cell r="F46">
            <v>3.25</v>
          </cell>
          <cell r="G46">
            <v>2.9906914893617023</v>
          </cell>
          <cell r="H46">
            <v>0.09</v>
          </cell>
          <cell r="I46">
            <v>60000</v>
          </cell>
          <cell r="J46">
            <v>13.8</v>
          </cell>
          <cell r="K46">
            <v>12.698936170212766</v>
          </cell>
          <cell r="L46">
            <v>0.33</v>
          </cell>
          <cell r="M46">
            <v>1</v>
          </cell>
        </row>
        <row r="47">
          <cell r="B47" t="str">
            <v>T8 High Performance, 3-F32T8HP 32W, 1-ELEC HP</v>
          </cell>
          <cell r="C47" t="str">
            <v>F32T8HP</v>
          </cell>
          <cell r="D47">
            <v>3</v>
          </cell>
          <cell r="E47">
            <v>30000</v>
          </cell>
          <cell r="F47">
            <v>3.25</v>
          </cell>
          <cell r="G47">
            <v>2.9906914893617023</v>
          </cell>
          <cell r="H47">
            <v>0.09</v>
          </cell>
          <cell r="I47">
            <v>60000</v>
          </cell>
          <cell r="J47">
            <v>16.099999999999998</v>
          </cell>
          <cell r="K47">
            <v>14.815425531914892</v>
          </cell>
          <cell r="L47">
            <v>0.33</v>
          </cell>
          <cell r="M47">
            <v>1</v>
          </cell>
        </row>
        <row r="48">
          <cell r="B48" t="str">
            <v>T8 High Performance, 2-F32T8HP 32W, 1-ELEC HP HLO</v>
          </cell>
          <cell r="C48" t="str">
            <v>F32T8HP</v>
          </cell>
          <cell r="D48">
            <v>2</v>
          </cell>
          <cell r="E48">
            <v>30000</v>
          </cell>
          <cell r="F48">
            <v>3.25</v>
          </cell>
          <cell r="G48">
            <v>2.9906914893617023</v>
          </cell>
          <cell r="H48">
            <v>0.09</v>
          </cell>
          <cell r="I48">
            <v>60000</v>
          </cell>
          <cell r="J48">
            <v>13.8</v>
          </cell>
          <cell r="K48">
            <v>12.698936170212766</v>
          </cell>
          <cell r="L48">
            <v>0.33</v>
          </cell>
          <cell r="M48">
            <v>1</v>
          </cell>
        </row>
        <row r="49">
          <cell r="B49" t="str">
            <v>T8 High Performance, 2-F32T8HP 32W, 1-ELEC HP RLO</v>
          </cell>
          <cell r="C49" t="str">
            <v>F32T8HP</v>
          </cell>
          <cell r="D49">
            <v>2</v>
          </cell>
          <cell r="E49">
            <v>30000</v>
          </cell>
          <cell r="F49">
            <v>3.25</v>
          </cell>
          <cell r="G49">
            <v>2.9906914893617023</v>
          </cell>
          <cell r="H49">
            <v>0.09</v>
          </cell>
          <cell r="I49">
            <v>60000</v>
          </cell>
          <cell r="J49">
            <v>13.8</v>
          </cell>
          <cell r="K49">
            <v>12.698936170212766</v>
          </cell>
          <cell r="L49">
            <v>0.33</v>
          </cell>
          <cell r="M49">
            <v>1</v>
          </cell>
        </row>
        <row r="50">
          <cell r="B50" t="str">
            <v>T8 High Performance, 2-F32T8HP 32W, 1-ELEC HP</v>
          </cell>
          <cell r="C50" t="str">
            <v>F32T8HP</v>
          </cell>
          <cell r="D50">
            <v>2</v>
          </cell>
          <cell r="E50">
            <v>30000</v>
          </cell>
          <cell r="F50">
            <v>3.25</v>
          </cell>
          <cell r="G50">
            <v>2.9906914893617023</v>
          </cell>
          <cell r="H50">
            <v>0.09</v>
          </cell>
          <cell r="I50">
            <v>60000</v>
          </cell>
          <cell r="J50">
            <v>13.8</v>
          </cell>
          <cell r="K50">
            <v>12.698936170212766</v>
          </cell>
          <cell r="L50">
            <v>0.33</v>
          </cell>
          <cell r="M50">
            <v>1</v>
          </cell>
        </row>
        <row r="51">
          <cell r="B51" t="str">
            <v>T8 Fluorescent, 1-F96T8 59W, 1-ELEC</v>
          </cell>
          <cell r="C51" t="str">
            <v>F96T8</v>
          </cell>
          <cell r="D51">
            <v>1</v>
          </cell>
          <cell r="E51">
            <v>12000</v>
          </cell>
          <cell r="F51">
            <v>5.1100000000000003</v>
          </cell>
          <cell r="G51">
            <v>4.7022872340425534</v>
          </cell>
          <cell r="H51">
            <v>0.09</v>
          </cell>
          <cell r="I51">
            <v>60000</v>
          </cell>
          <cell r="J51">
            <v>21</v>
          </cell>
          <cell r="K51">
            <v>19.324468085106382</v>
          </cell>
          <cell r="L51">
            <v>0.33</v>
          </cell>
          <cell r="M51">
            <v>1</v>
          </cell>
        </row>
        <row r="52">
          <cell r="B52" t="str">
            <v>T8 Fluorescent, 4-F32T8 32W, 1-ELEC</v>
          </cell>
          <cell r="C52" t="str">
            <v>F32T8</v>
          </cell>
          <cell r="D52">
            <v>4</v>
          </cell>
          <cell r="E52">
            <v>24000</v>
          </cell>
          <cell r="F52">
            <v>2.5</v>
          </cell>
          <cell r="G52">
            <v>2.3005319148936172</v>
          </cell>
          <cell r="H52">
            <v>0.09</v>
          </cell>
          <cell r="I52">
            <v>60000</v>
          </cell>
          <cell r="J52">
            <v>15</v>
          </cell>
          <cell r="K52">
            <v>13.803191489361703</v>
          </cell>
          <cell r="L52">
            <v>0.33</v>
          </cell>
          <cell r="M52">
            <v>1</v>
          </cell>
        </row>
        <row r="53">
          <cell r="B53" t="str">
            <v>T8 Fluorescent, 1-F96T8 59W, 1-ELEC</v>
          </cell>
          <cell r="C53" t="str">
            <v>F96T8</v>
          </cell>
          <cell r="D53">
            <v>1</v>
          </cell>
          <cell r="E53">
            <v>12000</v>
          </cell>
          <cell r="F53">
            <v>5.1100000000000003</v>
          </cell>
          <cell r="G53">
            <v>4.7022872340425534</v>
          </cell>
          <cell r="H53">
            <v>0.09</v>
          </cell>
          <cell r="I53">
            <v>60000</v>
          </cell>
          <cell r="J53">
            <v>21</v>
          </cell>
          <cell r="K53">
            <v>19.324468085106382</v>
          </cell>
          <cell r="L53">
            <v>0.33</v>
          </cell>
          <cell r="M53">
            <v>1</v>
          </cell>
        </row>
        <row r="54">
          <cell r="B54" t="str">
            <v>T8 Fluorescent, 4-F32T8 32W, 2-ELEC HLO</v>
          </cell>
          <cell r="C54" t="str">
            <v>F32T8</v>
          </cell>
          <cell r="D54">
            <v>4</v>
          </cell>
          <cell r="E54">
            <v>24000</v>
          </cell>
          <cell r="F54">
            <v>2.5</v>
          </cell>
          <cell r="G54">
            <v>2.3005319148936172</v>
          </cell>
          <cell r="H54">
            <v>0.09</v>
          </cell>
          <cell r="I54">
            <v>60000</v>
          </cell>
          <cell r="J54">
            <v>15</v>
          </cell>
          <cell r="K54">
            <v>13.803191489361703</v>
          </cell>
          <cell r="L54">
            <v>0.33</v>
          </cell>
          <cell r="M54">
            <v>2</v>
          </cell>
        </row>
        <row r="55">
          <cell r="B55" t="str">
            <v>T8 Fluorescent, 2-F96T8HO 86W, 1-ELEC</v>
          </cell>
          <cell r="C55" t="str">
            <v>F96T8HO</v>
          </cell>
          <cell r="D55">
            <v>2</v>
          </cell>
          <cell r="E55">
            <v>12000</v>
          </cell>
          <cell r="F55">
            <v>12.61</v>
          </cell>
          <cell r="G55">
            <v>11.603882978723403</v>
          </cell>
          <cell r="H55">
            <v>0.09</v>
          </cell>
          <cell r="I55">
            <v>60000</v>
          </cell>
          <cell r="J55">
            <v>21</v>
          </cell>
          <cell r="K55">
            <v>19.324468085106382</v>
          </cell>
          <cell r="L55">
            <v>0.33</v>
          </cell>
          <cell r="M55">
            <v>1</v>
          </cell>
        </row>
        <row r="56">
          <cell r="B56" t="str">
            <v>T8 High Performance, 4-F32T8HP 32W, 2-ELEC HP HLO</v>
          </cell>
          <cell r="C56" t="str">
            <v>F32T8HP</v>
          </cell>
          <cell r="D56">
            <v>4</v>
          </cell>
          <cell r="E56">
            <v>30000</v>
          </cell>
          <cell r="F56">
            <v>3.25</v>
          </cell>
          <cell r="G56">
            <v>2.9906914893617023</v>
          </cell>
          <cell r="H56">
            <v>0.09</v>
          </cell>
          <cell r="I56">
            <v>60000</v>
          </cell>
          <cell r="J56">
            <v>17.25</v>
          </cell>
          <cell r="K56">
            <v>15.873670212765958</v>
          </cell>
          <cell r="L56">
            <v>0.33</v>
          </cell>
          <cell r="M56">
            <v>2</v>
          </cell>
        </row>
        <row r="57">
          <cell r="B57" t="str">
            <v>T8 High Performance, 2-F32T8HP 32W, 1-ELEC HP RLO</v>
          </cell>
          <cell r="C57" t="str">
            <v>F32T8HP</v>
          </cell>
          <cell r="D57">
            <v>2</v>
          </cell>
          <cell r="E57">
            <v>30000</v>
          </cell>
          <cell r="F57">
            <v>3.25</v>
          </cell>
          <cell r="G57">
            <v>2.9906914893617023</v>
          </cell>
          <cell r="H57">
            <v>0.09</v>
          </cell>
          <cell r="I57">
            <v>60000</v>
          </cell>
          <cell r="J57">
            <v>13.8</v>
          </cell>
          <cell r="K57">
            <v>12.698936170212766</v>
          </cell>
          <cell r="L57">
            <v>0.33</v>
          </cell>
          <cell r="M57">
            <v>1</v>
          </cell>
        </row>
        <row r="58">
          <cell r="B58" t="str">
            <v>T8 High Performance, 3-F32T8HP 32W, 1-ELEC HP RLO</v>
          </cell>
          <cell r="C58" t="str">
            <v>F32T8HP</v>
          </cell>
          <cell r="D58">
            <v>3</v>
          </cell>
          <cell r="E58">
            <v>30000</v>
          </cell>
          <cell r="F58">
            <v>3.25</v>
          </cell>
          <cell r="G58">
            <v>2.9906914893617023</v>
          </cell>
          <cell r="H58">
            <v>0.09</v>
          </cell>
          <cell r="I58">
            <v>60000</v>
          </cell>
          <cell r="J58">
            <v>16.099999999999998</v>
          </cell>
          <cell r="K58">
            <v>14.815425531914892</v>
          </cell>
          <cell r="L58">
            <v>0.33</v>
          </cell>
          <cell r="M58">
            <v>1</v>
          </cell>
        </row>
        <row r="59">
          <cell r="B59" t="str">
            <v>T8 High Performance, 2-F32T8HP 32W, 1-ELEC HP HLO</v>
          </cell>
          <cell r="C59" t="str">
            <v>F32T8HP</v>
          </cell>
          <cell r="D59">
            <v>2</v>
          </cell>
          <cell r="E59">
            <v>30000</v>
          </cell>
          <cell r="F59">
            <v>3.25</v>
          </cell>
          <cell r="G59">
            <v>2.9906914893617023</v>
          </cell>
          <cell r="H59">
            <v>0.09</v>
          </cell>
          <cell r="I59">
            <v>60000</v>
          </cell>
          <cell r="J59">
            <v>13.8</v>
          </cell>
          <cell r="K59">
            <v>12.698936170212766</v>
          </cell>
          <cell r="L59">
            <v>0.33</v>
          </cell>
          <cell r="M59">
            <v>1</v>
          </cell>
        </row>
        <row r="60">
          <cell r="B60" t="str">
            <v>T8 High Performance, 4-F32T8HP 32W, 1-ELEC HP RLO</v>
          </cell>
          <cell r="C60" t="str">
            <v>F32T8HP</v>
          </cell>
          <cell r="D60">
            <v>4</v>
          </cell>
          <cell r="E60">
            <v>30000</v>
          </cell>
          <cell r="F60">
            <v>3.25</v>
          </cell>
          <cell r="G60">
            <v>2.9906914893617023</v>
          </cell>
          <cell r="H60">
            <v>0.09</v>
          </cell>
          <cell r="I60">
            <v>60000</v>
          </cell>
          <cell r="J60">
            <v>17.25</v>
          </cell>
          <cell r="K60">
            <v>15.873670212765958</v>
          </cell>
          <cell r="L60">
            <v>0.33</v>
          </cell>
          <cell r="M60">
            <v>1</v>
          </cell>
        </row>
        <row r="61">
          <cell r="B61" t="str">
            <v>T8 Fluorescent, 3-F32T8 32W, 1-ELEC</v>
          </cell>
          <cell r="C61" t="str">
            <v>F32T8</v>
          </cell>
          <cell r="D61">
            <v>3</v>
          </cell>
          <cell r="E61">
            <v>24000</v>
          </cell>
          <cell r="F61">
            <v>2.5</v>
          </cell>
          <cell r="G61">
            <v>2.3005319148936172</v>
          </cell>
          <cell r="H61">
            <v>0.09</v>
          </cell>
          <cell r="I61">
            <v>60000</v>
          </cell>
          <cell r="J61">
            <v>13</v>
          </cell>
          <cell r="K61">
            <v>11.962765957446809</v>
          </cell>
          <cell r="L61">
            <v>0.33</v>
          </cell>
          <cell r="M61">
            <v>1</v>
          </cell>
        </row>
        <row r="62">
          <cell r="B62" t="str">
            <v>T8 High Performance, 4-F32T8HP 32W, 2-ELEC HP HLO</v>
          </cell>
          <cell r="C62" t="str">
            <v>F32T8HP</v>
          </cell>
          <cell r="D62">
            <v>4</v>
          </cell>
          <cell r="E62">
            <v>30000</v>
          </cell>
          <cell r="F62">
            <v>3.25</v>
          </cell>
          <cell r="G62">
            <v>2.9906914893617023</v>
          </cell>
          <cell r="H62">
            <v>0.09</v>
          </cell>
          <cell r="I62">
            <v>60000</v>
          </cell>
          <cell r="J62">
            <v>16.099999999999998</v>
          </cell>
          <cell r="K62">
            <v>14.815425531914892</v>
          </cell>
          <cell r="L62">
            <v>0.33</v>
          </cell>
          <cell r="M62">
            <v>2</v>
          </cell>
        </row>
        <row r="63">
          <cell r="B63" t="str">
            <v>MH Pulse Start, 1-PS 750W, 1-MAG</v>
          </cell>
          <cell r="C63" t="str">
            <v>PS</v>
          </cell>
          <cell r="D63">
            <v>1</v>
          </cell>
          <cell r="E63">
            <v>20000</v>
          </cell>
          <cell r="F63">
            <v>68</v>
          </cell>
          <cell r="G63">
            <v>62.574468085106382</v>
          </cell>
          <cell r="H63">
            <v>0.4</v>
          </cell>
          <cell r="I63">
            <v>30000</v>
          </cell>
          <cell r="J63">
            <v>70</v>
          </cell>
          <cell r="K63">
            <v>64.414893617021278</v>
          </cell>
          <cell r="L63">
            <v>1.4</v>
          </cell>
          <cell r="M63">
            <v>1</v>
          </cell>
        </row>
        <row r="64">
          <cell r="B64" t="str">
            <v>Hard-Wired CFL, 2-PL 42W, 1-ELEC</v>
          </cell>
          <cell r="C64" t="str">
            <v>PL</v>
          </cell>
          <cell r="D64">
            <v>2</v>
          </cell>
          <cell r="E64">
            <v>10000</v>
          </cell>
          <cell r="F64">
            <v>5.5</v>
          </cell>
          <cell r="G64">
            <v>5.0611702127659575</v>
          </cell>
          <cell r="H64">
            <v>0.09</v>
          </cell>
          <cell r="I64">
            <v>30000</v>
          </cell>
          <cell r="J64">
            <v>10</v>
          </cell>
          <cell r="K64">
            <v>9.2021276595744688</v>
          </cell>
          <cell r="L64">
            <v>0.33</v>
          </cell>
          <cell r="M64">
            <v>1</v>
          </cell>
        </row>
        <row r="65">
          <cell r="B65" t="str">
            <v>T8 High Performance, 4-F32T8HP 32W, 1-ELEC HP</v>
          </cell>
          <cell r="C65" t="str">
            <v>F32T8HP</v>
          </cell>
          <cell r="D65">
            <v>4</v>
          </cell>
          <cell r="E65">
            <v>30000</v>
          </cell>
          <cell r="F65">
            <v>3.25</v>
          </cell>
          <cell r="G65">
            <v>2.9906914893617023</v>
          </cell>
          <cell r="H65">
            <v>0.09</v>
          </cell>
          <cell r="I65">
            <v>60000</v>
          </cell>
          <cell r="J65">
            <v>16.099999999999998</v>
          </cell>
          <cell r="K65">
            <v>14.815425531914892</v>
          </cell>
          <cell r="L65">
            <v>0.33</v>
          </cell>
          <cell r="M65">
            <v>1</v>
          </cell>
        </row>
        <row r="66">
          <cell r="B66" t="str">
            <v>T5HO Fluorescent, 2-F54T5HO 54W, 1-ELEC</v>
          </cell>
          <cell r="C66" t="str">
            <v>F54T5HO</v>
          </cell>
          <cell r="D66">
            <v>2</v>
          </cell>
          <cell r="E66">
            <v>20000</v>
          </cell>
          <cell r="F66">
            <v>8.2200000000000006</v>
          </cell>
          <cell r="G66">
            <v>7.5641489361702137</v>
          </cell>
          <cell r="H66">
            <v>0.09</v>
          </cell>
          <cell r="I66">
            <v>60000</v>
          </cell>
          <cell r="J66">
            <v>38</v>
          </cell>
          <cell r="K66">
            <v>34.968085106382979</v>
          </cell>
          <cell r="L66">
            <v>0.33</v>
          </cell>
          <cell r="M66">
            <v>1</v>
          </cell>
        </row>
        <row r="67">
          <cell r="B67" t="str">
            <v>T5HO Fluorescent, 3-F54T5HO 54W, 1-ELEC</v>
          </cell>
          <cell r="C67" t="str">
            <v>F54T5HO</v>
          </cell>
          <cell r="D67">
            <v>3</v>
          </cell>
          <cell r="E67">
            <v>20000</v>
          </cell>
          <cell r="F67">
            <v>8.2200000000000006</v>
          </cell>
          <cell r="G67">
            <v>7.5641489361702137</v>
          </cell>
          <cell r="H67">
            <v>0.09</v>
          </cell>
          <cell r="I67">
            <v>60000</v>
          </cell>
          <cell r="J67">
            <v>38</v>
          </cell>
          <cell r="K67">
            <v>34.968085106382979</v>
          </cell>
          <cell r="L67">
            <v>0.33</v>
          </cell>
          <cell r="M67">
            <v>1</v>
          </cell>
        </row>
        <row r="68">
          <cell r="B68" t="str">
            <v>T5HO Fluorescent, 4-F54T5HO 54W, 1-ELEC</v>
          </cell>
          <cell r="C68" t="str">
            <v>F54T5HO</v>
          </cell>
          <cell r="D68">
            <v>4</v>
          </cell>
          <cell r="E68">
            <v>20000</v>
          </cell>
          <cell r="F68">
            <v>8.2200000000000006</v>
          </cell>
          <cell r="G68">
            <v>7.5641489361702137</v>
          </cell>
          <cell r="H68">
            <v>0.09</v>
          </cell>
          <cell r="I68">
            <v>60000</v>
          </cell>
          <cell r="J68">
            <v>40</v>
          </cell>
          <cell r="K68">
            <v>36.808510638297875</v>
          </cell>
          <cell r="L68">
            <v>0.33</v>
          </cell>
          <cell r="M68">
            <v>1</v>
          </cell>
        </row>
        <row r="69">
          <cell r="B69" t="str">
            <v>T5HO Fluorescent, 6-F54T5HO 54W, 1-ELEC</v>
          </cell>
          <cell r="C69" t="str">
            <v>F54T5HO</v>
          </cell>
          <cell r="D69">
            <v>6</v>
          </cell>
          <cell r="E69">
            <v>20000</v>
          </cell>
          <cell r="F69">
            <v>8.2200000000000006</v>
          </cell>
          <cell r="G69">
            <v>7.5641489361702137</v>
          </cell>
          <cell r="H69">
            <v>0.09</v>
          </cell>
          <cell r="I69">
            <v>60000</v>
          </cell>
          <cell r="J69">
            <v>42</v>
          </cell>
          <cell r="K69">
            <v>38.648936170212764</v>
          </cell>
          <cell r="L69">
            <v>0.33</v>
          </cell>
          <cell r="M69">
            <v>1</v>
          </cell>
        </row>
        <row r="70">
          <cell r="B70" t="str">
            <v>Hard-Wired CFL, 1-PL 26W, 1-MAG</v>
          </cell>
          <cell r="C70" t="str">
            <v>PL</v>
          </cell>
          <cell r="D70">
            <v>1</v>
          </cell>
          <cell r="E70">
            <v>10000</v>
          </cell>
          <cell r="F70">
            <v>3.3</v>
          </cell>
          <cell r="G70">
            <v>3.0367021276595745</v>
          </cell>
          <cell r="H70">
            <v>0.09</v>
          </cell>
          <cell r="I70">
            <v>30000</v>
          </cell>
          <cell r="J70">
            <v>10</v>
          </cell>
          <cell r="K70">
            <v>9.2021276595744688</v>
          </cell>
          <cell r="L70">
            <v>0.33</v>
          </cell>
          <cell r="M70">
            <v>1</v>
          </cell>
        </row>
        <row r="71">
          <cell r="B71" t="str">
            <v>Hard-Wired CFL, 1-PL 32W, 1-ELEC</v>
          </cell>
          <cell r="C71" t="str">
            <v>PL</v>
          </cell>
          <cell r="D71">
            <v>1</v>
          </cell>
          <cell r="E71">
            <v>10000</v>
          </cell>
          <cell r="F71">
            <v>5.2</v>
          </cell>
          <cell r="G71">
            <v>4.7851063829787233</v>
          </cell>
          <cell r="H71">
            <v>0.09</v>
          </cell>
          <cell r="I71">
            <v>30000</v>
          </cell>
          <cell r="J71">
            <v>10</v>
          </cell>
          <cell r="K71">
            <v>9.2021276595744688</v>
          </cell>
          <cell r="L71">
            <v>0.33</v>
          </cell>
          <cell r="M71">
            <v>1</v>
          </cell>
        </row>
        <row r="72">
          <cell r="B72" t="str">
            <v>Hard-Wired CFL, 2-PL 26W, 1-ELEC</v>
          </cell>
          <cell r="C72" t="str">
            <v>PL</v>
          </cell>
          <cell r="D72">
            <v>2</v>
          </cell>
          <cell r="E72">
            <v>10000</v>
          </cell>
          <cell r="F72">
            <v>3.3</v>
          </cell>
          <cell r="G72">
            <v>3.0367021276595745</v>
          </cell>
          <cell r="H72">
            <v>0.09</v>
          </cell>
          <cell r="I72">
            <v>30000</v>
          </cell>
          <cell r="J72">
            <v>10</v>
          </cell>
          <cell r="K72">
            <v>9.2021276595744688</v>
          </cell>
          <cell r="L72">
            <v>0.33</v>
          </cell>
          <cell r="M72">
            <v>1</v>
          </cell>
        </row>
        <row r="73">
          <cell r="B73" t="str">
            <v>Ceramic Metal Halide, 1-SE 150W, 1-ELEC</v>
          </cell>
          <cell r="C73" t="str">
            <v>SE</v>
          </cell>
          <cell r="D73">
            <v>1</v>
          </cell>
          <cell r="E73">
            <v>20000</v>
          </cell>
          <cell r="F73">
            <v>47</v>
          </cell>
          <cell r="G73">
            <v>43.25</v>
          </cell>
          <cell r="H73">
            <v>0.4</v>
          </cell>
          <cell r="I73">
            <v>30000</v>
          </cell>
          <cell r="J73">
            <v>50</v>
          </cell>
          <cell r="K73">
            <v>46.01063829787234</v>
          </cell>
          <cell r="L73">
            <v>1.4</v>
          </cell>
          <cell r="M73">
            <v>1</v>
          </cell>
        </row>
        <row r="74">
          <cell r="B74" t="str">
            <v>Ceramic Metal Halide, 1-PAR 39W, 1-ELEC</v>
          </cell>
          <cell r="C74" t="str">
            <v>PAR</v>
          </cell>
          <cell r="D74">
            <v>1</v>
          </cell>
          <cell r="E74">
            <v>9000</v>
          </cell>
          <cell r="F74">
            <v>47</v>
          </cell>
          <cell r="G74">
            <v>43.25</v>
          </cell>
          <cell r="H74">
            <v>0.4</v>
          </cell>
          <cell r="I74">
            <v>30000</v>
          </cell>
          <cell r="J74">
            <v>50</v>
          </cell>
          <cell r="K74">
            <v>46.01063829787234</v>
          </cell>
          <cell r="L74">
            <v>1.4</v>
          </cell>
          <cell r="M74">
            <v>1</v>
          </cell>
        </row>
        <row r="75">
          <cell r="B75" t="str">
            <v>Ceramic Metal Halide, 1-PAR 39W, 1-ELEC</v>
          </cell>
          <cell r="C75" t="str">
            <v>PAR</v>
          </cell>
          <cell r="D75">
            <v>1</v>
          </cell>
          <cell r="E75">
            <v>9000</v>
          </cell>
          <cell r="F75">
            <v>47</v>
          </cell>
          <cell r="G75">
            <v>43.25</v>
          </cell>
          <cell r="H75">
            <v>0.4</v>
          </cell>
          <cell r="I75">
            <v>30000</v>
          </cell>
          <cell r="J75">
            <v>50</v>
          </cell>
          <cell r="K75">
            <v>46.01063829787234</v>
          </cell>
          <cell r="L75">
            <v>1.4</v>
          </cell>
          <cell r="M75">
            <v>1</v>
          </cell>
        </row>
        <row r="76">
          <cell r="B76" t="str">
            <v>MH Pulse Start, 1-PS 400W, 1-ELEC</v>
          </cell>
          <cell r="C76" t="str">
            <v>PS</v>
          </cell>
          <cell r="D76">
            <v>1</v>
          </cell>
          <cell r="E76">
            <v>20000</v>
          </cell>
          <cell r="F76">
            <v>30</v>
          </cell>
          <cell r="G76">
            <v>27.606382978723406</v>
          </cell>
          <cell r="H76">
            <v>0.4</v>
          </cell>
          <cell r="I76">
            <v>30000</v>
          </cell>
          <cell r="J76">
            <v>70</v>
          </cell>
          <cell r="K76">
            <v>64.414893617021278</v>
          </cell>
          <cell r="L76">
            <v>1.4</v>
          </cell>
          <cell r="M76">
            <v>1</v>
          </cell>
        </row>
        <row r="77">
          <cell r="B77" t="str">
            <v>Hard-Wired CFL, 2-PL 32W, 1-ELEC</v>
          </cell>
          <cell r="C77" t="str">
            <v>PL</v>
          </cell>
          <cell r="D77">
            <v>2</v>
          </cell>
          <cell r="E77">
            <v>10000</v>
          </cell>
          <cell r="F77">
            <v>5.2</v>
          </cell>
          <cell r="G77">
            <v>4.7851063829787233</v>
          </cell>
          <cell r="H77">
            <v>0.09</v>
          </cell>
          <cell r="I77">
            <v>30000</v>
          </cell>
          <cell r="J77">
            <v>10</v>
          </cell>
          <cell r="K77">
            <v>9.2021276595744688</v>
          </cell>
          <cell r="L77">
            <v>0.33</v>
          </cell>
          <cell r="M77">
            <v>1</v>
          </cell>
        </row>
        <row r="78">
          <cell r="B78" t="str">
            <v>T8 Fluorescent, 2-F32T8 32W, 1-ELEC HLO</v>
          </cell>
          <cell r="C78" t="str">
            <v>F32T8</v>
          </cell>
          <cell r="D78">
            <v>2</v>
          </cell>
          <cell r="E78">
            <v>24000</v>
          </cell>
          <cell r="F78">
            <v>2.5</v>
          </cell>
          <cell r="G78">
            <v>2.3005319148936172</v>
          </cell>
          <cell r="H78">
            <v>0.09</v>
          </cell>
          <cell r="I78">
            <v>60000</v>
          </cell>
          <cell r="J78">
            <v>12</v>
          </cell>
          <cell r="K78">
            <v>11.042553191489361</v>
          </cell>
          <cell r="L78">
            <v>0.33</v>
          </cell>
          <cell r="M78">
            <v>1</v>
          </cell>
        </row>
      </sheetData>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ustMeas"/>
      <sheetName val="Proposed Lighting Retrofit"/>
      <sheetName val="COTR"/>
      <sheetName val="Application"/>
      <sheetName val="As-Built Lighting"/>
      <sheetName val="Billing History"/>
      <sheetName val="Data Existing"/>
      <sheetName val="Proposed Controls"/>
      <sheetName val="Data Proposed"/>
      <sheetName val="ProjectBC"/>
      <sheetName val="LSYield"/>
      <sheetName val="ShapePV"/>
      <sheetName val="BugList"/>
      <sheetName val="LSYield2"/>
      <sheetName val="CEE Lamps"/>
      <sheetName val="CEE Ballasts"/>
      <sheetName val="uploaddata"/>
      <sheetName val="Revisions"/>
    </sheetNames>
    <sheetDataSet>
      <sheetData sheetId="0" refreshError="1"/>
      <sheetData sheetId="1" refreshError="1"/>
      <sheetData sheetId="2" refreshError="1"/>
      <sheetData sheetId="3" refreshError="1"/>
      <sheetData sheetId="4" refreshError="1"/>
      <sheetData sheetId="5" refreshError="1"/>
      <sheetData sheetId="6">
        <row r="3">
          <cell r="B3" t="str">
            <v xml:space="preserve"> Description of Existing Lamp/Ballast Combination  </v>
          </cell>
          <cell r="C3" t="str">
            <v>Input Watts</v>
          </cell>
          <cell r="D3" t="str">
            <v>Mean System Lumens</v>
          </cell>
          <cell r="E3" t="str">
            <v xml:space="preserve">        Suggested Upgrades / Notes</v>
          </cell>
          <cell r="F3" t="str">
            <v>Rated Average Lamp Life (hours/lamp for RS ballast @ 12 hours/start)</v>
          </cell>
          <cell r="G3" t="str">
            <v>Lamp Cost ($/lamp)</v>
          </cell>
          <cell r="H3" t="str">
            <v>Lamp Change Labor (hours/lamp)</v>
          </cell>
        </row>
        <row r="5">
          <cell r="B5" t="str">
            <v>Describe existing lamp/ballast combination here</v>
          </cell>
          <cell r="E5" t="str">
            <v xml:space="preserve">&lt;&lt;Input a wattage and mean system lumens </v>
          </cell>
        </row>
        <row r="6">
          <cell r="B6" t="str">
            <v>=================================</v>
          </cell>
        </row>
        <row r="7">
          <cell r="B7" t="str">
            <v>EXIT SIGNS</v>
          </cell>
        </row>
        <row r="8">
          <cell r="B8" t="str">
            <v>=================================</v>
          </cell>
        </row>
        <row r="9">
          <cell r="B9" t="str">
            <v>Incandescent Exit Sign, 2-5 Watt Lamps</v>
          </cell>
          <cell r="C9">
            <v>10</v>
          </cell>
          <cell r="D9">
            <v>2</v>
          </cell>
          <cell r="E9" t="str">
            <v xml:space="preserve">New LED Exit Sign </v>
          </cell>
          <cell r="F9">
            <v>10000</v>
          </cell>
          <cell r="G9">
            <v>2.31</v>
          </cell>
          <cell r="H9">
            <v>0.1</v>
          </cell>
        </row>
        <row r="10">
          <cell r="B10" t="str">
            <v>Incandescent Exit Sign, 2-8 Watt Lamps</v>
          </cell>
          <cell r="C10">
            <v>16</v>
          </cell>
          <cell r="D10">
            <v>2</v>
          </cell>
          <cell r="E10" t="str">
            <v xml:space="preserve">New LED Exit Sign </v>
          </cell>
          <cell r="F10">
            <v>10000</v>
          </cell>
          <cell r="G10">
            <v>2.31</v>
          </cell>
          <cell r="H10">
            <v>0.1</v>
          </cell>
        </row>
        <row r="11">
          <cell r="B11" t="str">
            <v>Incandescent Exit Sign, 2-10 Watt Lamps</v>
          </cell>
          <cell r="C11">
            <v>20</v>
          </cell>
          <cell r="D11">
            <v>2</v>
          </cell>
          <cell r="E11" t="str">
            <v xml:space="preserve">New LED Exit Sign </v>
          </cell>
          <cell r="F11">
            <v>10000</v>
          </cell>
          <cell r="G11">
            <v>2.31</v>
          </cell>
          <cell r="H11">
            <v>0.1</v>
          </cell>
        </row>
        <row r="12">
          <cell r="B12" t="str">
            <v>Incandescent Exit Sign, 2-15 Watt Lamps</v>
          </cell>
          <cell r="C12">
            <v>30</v>
          </cell>
          <cell r="D12">
            <v>2</v>
          </cell>
          <cell r="E12" t="str">
            <v xml:space="preserve">New LED Exit Sign </v>
          </cell>
          <cell r="F12">
            <v>10000</v>
          </cell>
          <cell r="G12">
            <v>2.31</v>
          </cell>
          <cell r="H12">
            <v>0.1</v>
          </cell>
        </row>
        <row r="13">
          <cell r="B13" t="str">
            <v>Incandescent Exit Sign, 2-20 Watt Lamps</v>
          </cell>
          <cell r="C13">
            <v>40</v>
          </cell>
          <cell r="D13">
            <v>2</v>
          </cell>
          <cell r="E13" t="str">
            <v xml:space="preserve">New LED Exit Sign </v>
          </cell>
          <cell r="F13">
            <v>10000</v>
          </cell>
          <cell r="G13">
            <v>2.31</v>
          </cell>
          <cell r="H13">
            <v>0.1</v>
          </cell>
        </row>
        <row r="14">
          <cell r="B14" t="str">
            <v>Incandescent Exit Sign, 2-25 Watt Lamps</v>
          </cell>
          <cell r="C14">
            <v>50</v>
          </cell>
          <cell r="D14">
            <v>2</v>
          </cell>
          <cell r="E14" t="str">
            <v xml:space="preserve">New LED Exit Sign </v>
          </cell>
          <cell r="F14">
            <v>10000</v>
          </cell>
          <cell r="G14">
            <v>2.31</v>
          </cell>
          <cell r="H14">
            <v>0.1</v>
          </cell>
        </row>
        <row r="15">
          <cell r="B15" t="str">
            <v>Incandescent Exit Sign, 2-40 Watt Lamps</v>
          </cell>
          <cell r="C15">
            <v>80</v>
          </cell>
          <cell r="D15">
            <v>2</v>
          </cell>
          <cell r="E15" t="str">
            <v xml:space="preserve">New LED Exit Sign </v>
          </cell>
          <cell r="F15">
            <v>10000</v>
          </cell>
          <cell r="G15">
            <v>2.31</v>
          </cell>
          <cell r="H15">
            <v>0.1</v>
          </cell>
        </row>
        <row r="16">
          <cell r="B16" t="str">
            <v>=================================</v>
          </cell>
        </row>
        <row r="17">
          <cell r="B17" t="str">
            <v>T8 DE-LAMP</v>
          </cell>
        </row>
        <row r="18">
          <cell r="B18" t="str">
            <v>=================================</v>
          </cell>
        </row>
        <row r="19">
          <cell r="B19" t="str">
            <v>Standard 4' T8 2 lamp 32 Watt</v>
          </cell>
          <cell r="C19">
            <v>60</v>
          </cell>
          <cell r="D19">
            <v>4932.3999999999996</v>
          </cell>
        </row>
        <row r="20">
          <cell r="B20" t="str">
            <v xml:space="preserve">Standard 4' T8 3 lamp 32 Watt </v>
          </cell>
          <cell r="C20">
            <v>90</v>
          </cell>
          <cell r="D20">
            <v>6969.375</v>
          </cell>
        </row>
        <row r="21">
          <cell r="B21" t="str">
            <v xml:space="preserve">Standard 4' T8 4 lamp 32 Watt </v>
          </cell>
          <cell r="C21">
            <v>114</v>
          </cell>
          <cell r="D21">
            <v>9292.5</v>
          </cell>
        </row>
        <row r="22">
          <cell r="B22" t="str">
            <v>Standard 4' T8 6 lamp 32 Watt</v>
          </cell>
          <cell r="C22">
            <v>162</v>
          </cell>
          <cell r="D22">
            <v>15372.9</v>
          </cell>
        </row>
        <row r="23">
          <cell r="B23" t="str">
            <v>=================================</v>
          </cell>
        </row>
        <row r="24">
          <cell r="B24" t="str">
            <v>T12 FLUORESCENT (LAMPS UNDER 8')</v>
          </cell>
        </row>
        <row r="25">
          <cell r="B25" t="str">
            <v>=================================</v>
          </cell>
        </row>
        <row r="26">
          <cell r="B26" t="str">
            <v>T12 2' Fluorescent, 1-20 Watt Lamp, Magnetic Ballast</v>
          </cell>
          <cell r="C26">
            <v>24</v>
          </cell>
          <cell r="D26">
            <v>960</v>
          </cell>
          <cell r="E26" t="str">
            <v>T8 High Performance</v>
          </cell>
          <cell r="F26">
            <v>7500</v>
          </cell>
          <cell r="G26">
            <v>2.17</v>
          </cell>
          <cell r="H26">
            <v>0.09</v>
          </cell>
        </row>
        <row r="27">
          <cell r="B27" t="str">
            <v>T12 3' Fluorescent, 1-30 Watt Lamp, Magnetic Ballast</v>
          </cell>
          <cell r="C27">
            <v>36</v>
          </cell>
          <cell r="D27">
            <v>1630</v>
          </cell>
          <cell r="E27" t="str">
            <v>T8 High Performance</v>
          </cell>
          <cell r="F27">
            <v>18000</v>
          </cell>
          <cell r="G27">
            <v>3.29</v>
          </cell>
          <cell r="H27">
            <v>0.09</v>
          </cell>
        </row>
        <row r="28">
          <cell r="B28" t="str">
            <v>T12 2'x2' Fluorescent, 1-40 Watt U-Tube Lamp, Magnetic Ballast</v>
          </cell>
          <cell r="C28">
            <v>48</v>
          </cell>
          <cell r="D28">
            <v>2775</v>
          </cell>
          <cell r="E28" t="str">
            <v>T8 High Performance</v>
          </cell>
          <cell r="F28">
            <v>20000</v>
          </cell>
          <cell r="G28">
            <v>4.8</v>
          </cell>
          <cell r="H28">
            <v>0.09</v>
          </cell>
        </row>
        <row r="29">
          <cell r="B29" t="str">
            <v>T12 2'x2' Fluorescent, 2-40 Watt U-Tube Lamps, Magnetic Ballast</v>
          </cell>
          <cell r="C29">
            <v>86</v>
          </cell>
          <cell r="D29">
            <v>5550</v>
          </cell>
          <cell r="E29" t="str">
            <v>T8 High Performance</v>
          </cell>
          <cell r="F29">
            <v>20000</v>
          </cell>
          <cell r="G29">
            <v>4.8</v>
          </cell>
          <cell r="H29">
            <v>0.09</v>
          </cell>
        </row>
        <row r="30">
          <cell r="B30" t="str">
            <v>T12 4' Fluorescent, 1-56 Watt HO Lamp, Magnetic Ballast</v>
          </cell>
          <cell r="C30">
            <v>66</v>
          </cell>
          <cell r="D30">
            <v>4000</v>
          </cell>
          <cell r="E30" t="str">
            <v>T8 High Performance</v>
          </cell>
          <cell r="F30">
            <v>12000</v>
          </cell>
          <cell r="G30">
            <v>4.28</v>
          </cell>
          <cell r="H30">
            <v>0.09</v>
          </cell>
        </row>
        <row r="31">
          <cell r="B31" t="str">
            <v>T12 4' Fluorescent, 2-56 Watt HO Lamps, Magnetic Ballast</v>
          </cell>
          <cell r="C31">
            <v>132</v>
          </cell>
          <cell r="D31">
            <v>8000</v>
          </cell>
          <cell r="E31" t="str">
            <v>T8 High Performance</v>
          </cell>
          <cell r="F31">
            <v>12000</v>
          </cell>
          <cell r="G31">
            <v>4.28</v>
          </cell>
          <cell r="H31">
            <v>0.09</v>
          </cell>
        </row>
        <row r="32">
          <cell r="B32" t="str">
            <v>T12 4' Fluorescent, 3-56 Watt HO Lamps, Magnetic Ballast</v>
          </cell>
          <cell r="C32">
            <v>198</v>
          </cell>
          <cell r="D32">
            <v>12000</v>
          </cell>
          <cell r="E32" t="str">
            <v>T8 High Performance</v>
          </cell>
          <cell r="F32">
            <v>12000</v>
          </cell>
          <cell r="G32">
            <v>4.28</v>
          </cell>
          <cell r="H32">
            <v>0.09</v>
          </cell>
        </row>
        <row r="33">
          <cell r="B33" t="str">
            <v>----------------------------</v>
          </cell>
        </row>
        <row r="34">
          <cell r="B34" t="str">
            <v>T12 4' Fluorescent, 1-34 Watt ES Lamp, Energy Efficient Ballast</v>
          </cell>
          <cell r="C34">
            <v>43</v>
          </cell>
          <cell r="D34">
            <v>1890.51</v>
          </cell>
          <cell r="E34" t="str">
            <v>T8 High Performance</v>
          </cell>
          <cell r="F34">
            <v>20000</v>
          </cell>
          <cell r="G34">
            <v>1.1200000000000001</v>
          </cell>
          <cell r="H34">
            <v>0.09</v>
          </cell>
        </row>
        <row r="35">
          <cell r="B35" t="str">
            <v>T12 4' Fluorescent, 1-40 Watt Lamp, Energy Efficient Ballast</v>
          </cell>
          <cell r="C35">
            <v>46</v>
          </cell>
          <cell r="D35">
            <v>2433.9</v>
          </cell>
          <cell r="E35" t="str">
            <v>T8 High Performance</v>
          </cell>
          <cell r="F35">
            <v>20000</v>
          </cell>
          <cell r="G35">
            <v>1.1200000000000001</v>
          </cell>
          <cell r="H35">
            <v>0.09</v>
          </cell>
        </row>
        <row r="36">
          <cell r="B36" t="str">
            <v>T12 4' Fluorescent, 1-34 Watt ES Lamp, Magnetic Ballast</v>
          </cell>
          <cell r="C36">
            <v>48</v>
          </cell>
          <cell r="D36">
            <v>1933.97</v>
          </cell>
          <cell r="E36" t="str">
            <v>T8 High Performance</v>
          </cell>
          <cell r="F36">
            <v>20000</v>
          </cell>
          <cell r="G36">
            <v>1.1200000000000001</v>
          </cell>
          <cell r="H36">
            <v>0.09</v>
          </cell>
        </row>
        <row r="37">
          <cell r="B37" t="str">
            <v>T12 4' Fluorescent, 1-40 Watt Lamp, Magnetic Ballast</v>
          </cell>
          <cell r="C37">
            <v>52</v>
          </cell>
          <cell r="D37">
            <v>2433.9</v>
          </cell>
          <cell r="E37" t="str">
            <v>T8 High Performance</v>
          </cell>
          <cell r="F37">
            <v>20000</v>
          </cell>
          <cell r="G37">
            <v>1.1200000000000001</v>
          </cell>
          <cell r="H37">
            <v>0.09</v>
          </cell>
        </row>
        <row r="38">
          <cell r="B38" t="str">
            <v>----------------------------</v>
          </cell>
        </row>
        <row r="39">
          <cell r="B39" t="str">
            <v>T12 4' Fluorescent, 2-34 Watt ES Lamps, Energy Efficient Ballast</v>
          </cell>
          <cell r="C39">
            <v>72</v>
          </cell>
          <cell r="D39">
            <v>3781.02</v>
          </cell>
          <cell r="E39" t="str">
            <v>T8 High Performance</v>
          </cell>
          <cell r="F39">
            <v>20000</v>
          </cell>
          <cell r="G39">
            <v>1.1200000000000001</v>
          </cell>
          <cell r="H39">
            <v>0.09</v>
          </cell>
        </row>
        <row r="40">
          <cell r="B40" t="str">
            <v>T12 4' Fluorescent, 2-34 Watt ES Lamps, Magnetic Ballast</v>
          </cell>
          <cell r="C40">
            <v>82</v>
          </cell>
          <cell r="D40">
            <v>3867.94</v>
          </cell>
          <cell r="E40" t="str">
            <v>T8 High Performance</v>
          </cell>
          <cell r="F40">
            <v>20000</v>
          </cell>
          <cell r="G40">
            <v>1.1200000000000001</v>
          </cell>
          <cell r="H40">
            <v>0.09</v>
          </cell>
        </row>
        <row r="41">
          <cell r="B41" t="str">
            <v>T12 4' Fluorescent, 2-40 Watt Lamps, Energy Efficient Ballast</v>
          </cell>
          <cell r="C41">
            <v>88</v>
          </cell>
          <cell r="D41">
            <v>4867.8</v>
          </cell>
          <cell r="E41" t="str">
            <v>T8 High Performance</v>
          </cell>
          <cell r="F41">
            <v>20000</v>
          </cell>
          <cell r="G41">
            <v>1.1200000000000001</v>
          </cell>
          <cell r="H41">
            <v>0.09</v>
          </cell>
        </row>
        <row r="42">
          <cell r="B42" t="str">
            <v>T12 4' Fluorescent, 2-40 Watt Lamps, Magnetic Ballast</v>
          </cell>
          <cell r="C42">
            <v>96</v>
          </cell>
          <cell r="D42">
            <v>4867.8</v>
          </cell>
          <cell r="E42" t="str">
            <v>T8 High Performance</v>
          </cell>
          <cell r="F42">
            <v>20000</v>
          </cell>
          <cell r="G42">
            <v>1.1200000000000001</v>
          </cell>
          <cell r="H42">
            <v>0.09</v>
          </cell>
        </row>
        <row r="43">
          <cell r="B43" t="str">
            <v>----------------------------</v>
          </cell>
        </row>
        <row r="44">
          <cell r="B44" t="str">
            <v>T12 4' Fluorescent, 3-34 Watt ES Lamps, Energy Efficient Ballasts</v>
          </cell>
          <cell r="C44">
            <v>116</v>
          </cell>
          <cell r="D44">
            <v>5671.53</v>
          </cell>
          <cell r="E44" t="str">
            <v>T8 High Performance</v>
          </cell>
          <cell r="F44">
            <v>20000</v>
          </cell>
          <cell r="G44">
            <v>1.1200000000000001</v>
          </cell>
          <cell r="H44">
            <v>0.09</v>
          </cell>
        </row>
        <row r="45">
          <cell r="B45" t="str">
            <v>T12 4' Fluorescent, 3-34 Watt ES Lamps, Magnetic Ballasts</v>
          </cell>
          <cell r="C45">
            <v>130</v>
          </cell>
          <cell r="D45">
            <v>5801.91</v>
          </cell>
          <cell r="E45" t="str">
            <v>T8 High Performance</v>
          </cell>
          <cell r="F45">
            <v>20000</v>
          </cell>
          <cell r="G45">
            <v>1.1200000000000001</v>
          </cell>
          <cell r="H45">
            <v>0.09</v>
          </cell>
        </row>
        <row r="46">
          <cell r="B46" t="str">
            <v>T12 4' Fluorescent, 3-40 Watt Lamps, Energy Efficient Ballasts</v>
          </cell>
          <cell r="C46">
            <v>134</v>
          </cell>
          <cell r="D46">
            <v>7301.7</v>
          </cell>
          <cell r="E46" t="str">
            <v>T8 High Performance</v>
          </cell>
          <cell r="F46">
            <v>20000</v>
          </cell>
          <cell r="G46">
            <v>1.1200000000000001</v>
          </cell>
          <cell r="H46">
            <v>0.09</v>
          </cell>
        </row>
        <row r="47">
          <cell r="B47" t="str">
            <v>T12 4' Fluorescent, 3-40 Watt Lamps, Magnetic Ballasts</v>
          </cell>
          <cell r="C47">
            <v>148</v>
          </cell>
          <cell r="D47">
            <v>7301.7</v>
          </cell>
          <cell r="E47" t="str">
            <v>T8 High Performance</v>
          </cell>
          <cell r="F47">
            <v>20000</v>
          </cell>
          <cell r="G47">
            <v>1.1200000000000001</v>
          </cell>
          <cell r="H47">
            <v>0.09</v>
          </cell>
        </row>
        <row r="48">
          <cell r="B48" t="str">
            <v>----------------------------</v>
          </cell>
        </row>
        <row r="49">
          <cell r="B49" t="str">
            <v>T12 4' Fluorescent, 4-34 Watt ES Lamps, Energy Efficient Ballasts</v>
          </cell>
          <cell r="C49">
            <v>144</v>
          </cell>
          <cell r="D49">
            <v>7562.04</v>
          </cell>
          <cell r="E49" t="str">
            <v>T8 High Performance</v>
          </cell>
          <cell r="F49">
            <v>20000</v>
          </cell>
          <cell r="G49">
            <v>1.1200000000000001</v>
          </cell>
          <cell r="H49">
            <v>0.09</v>
          </cell>
        </row>
        <row r="50">
          <cell r="B50" t="str">
            <v>T12 4' Fluorescent, 4-34 Watt ES Lamps, Magnetic Ballasts</v>
          </cell>
          <cell r="C50">
            <v>164</v>
          </cell>
          <cell r="D50">
            <v>7735.88</v>
          </cell>
          <cell r="E50" t="str">
            <v>T8 High Performance</v>
          </cell>
          <cell r="F50">
            <v>20000</v>
          </cell>
          <cell r="G50">
            <v>1.1200000000000001</v>
          </cell>
          <cell r="H50">
            <v>0.09</v>
          </cell>
        </row>
        <row r="51">
          <cell r="B51" t="str">
            <v>T12 4' Fluorescent, 4-40 Watt Lamps, Energy Efficient Ballasts</v>
          </cell>
          <cell r="C51">
            <v>176</v>
          </cell>
          <cell r="D51">
            <v>9735.6</v>
          </cell>
          <cell r="E51" t="str">
            <v>T8 High Performance</v>
          </cell>
          <cell r="F51">
            <v>20000</v>
          </cell>
          <cell r="G51">
            <v>1.1200000000000001</v>
          </cell>
          <cell r="H51">
            <v>0.09</v>
          </cell>
        </row>
        <row r="52">
          <cell r="B52" t="str">
            <v>T12 4' Fluorescent, 4-40 Watt Lamps, Magnetic Ballasts</v>
          </cell>
          <cell r="C52">
            <v>192</v>
          </cell>
          <cell r="D52">
            <v>9735.6</v>
          </cell>
          <cell r="E52" t="str">
            <v>T8 High Performance</v>
          </cell>
          <cell r="F52">
            <v>20000</v>
          </cell>
          <cell r="G52">
            <v>1.1200000000000001</v>
          </cell>
          <cell r="H52">
            <v>0.09</v>
          </cell>
        </row>
        <row r="53">
          <cell r="B53" t="str">
            <v>=================================</v>
          </cell>
        </row>
        <row r="54">
          <cell r="B54" t="str">
            <v>T12 FLUORESCENT (8' LAMPS)</v>
          </cell>
        </row>
        <row r="55">
          <cell r="B55" t="str">
            <v>=================================</v>
          </cell>
        </row>
        <row r="56">
          <cell r="B56" t="str">
            <v>T12 8' Fluorescent, 1-60 Watt Lamp, Magnetic Ballast</v>
          </cell>
          <cell r="C56">
            <v>83</v>
          </cell>
          <cell r="D56">
            <v>4258.6499999999996</v>
          </cell>
          <cell r="E56" t="str">
            <v>T8 High Performance</v>
          </cell>
          <cell r="F56">
            <v>12000</v>
          </cell>
          <cell r="G56">
            <v>6</v>
          </cell>
          <cell r="H56">
            <v>0.09</v>
          </cell>
        </row>
        <row r="57">
          <cell r="B57" t="str">
            <v>T12 8' Fluorescent, 1-75 Watt Lamp, Magnetic Ballast</v>
          </cell>
          <cell r="C57">
            <v>100</v>
          </cell>
          <cell r="D57">
            <v>5145.09</v>
          </cell>
          <cell r="E57" t="str">
            <v>T8 High Performance</v>
          </cell>
          <cell r="F57">
            <v>12000</v>
          </cell>
          <cell r="G57">
            <v>7.02</v>
          </cell>
          <cell r="H57">
            <v>0.09</v>
          </cell>
        </row>
        <row r="58">
          <cell r="B58" t="str">
            <v>T12 8' Fluorescent, 1-95 Watt HO ES Lamp, Magnetic Ballast</v>
          </cell>
          <cell r="C58">
            <v>125</v>
          </cell>
          <cell r="D58">
            <v>5728.8</v>
          </cell>
          <cell r="E58" t="str">
            <v>T8 High Performance</v>
          </cell>
          <cell r="F58">
            <v>12000</v>
          </cell>
          <cell r="G58">
            <v>7.63</v>
          </cell>
          <cell r="H58">
            <v>0.09</v>
          </cell>
        </row>
        <row r="59">
          <cell r="B59" t="str">
            <v>T12 8' Fluorescent, 1-100W HO Lamp, Magnetic Ballast</v>
          </cell>
          <cell r="C59">
            <v>140</v>
          </cell>
          <cell r="D59">
            <v>6715.94</v>
          </cell>
          <cell r="E59" t="str">
            <v>T8 High Performance</v>
          </cell>
          <cell r="F59">
            <v>12000</v>
          </cell>
          <cell r="G59">
            <v>7.02</v>
          </cell>
          <cell r="H59">
            <v>0.09</v>
          </cell>
        </row>
        <row r="60">
          <cell r="B60" t="str">
            <v>T12 8' Fluorescent, 1-185 Watt VHO ES Lamp, Magnetic Ballast</v>
          </cell>
          <cell r="C60">
            <v>200</v>
          </cell>
          <cell r="D60">
            <v>8370</v>
          </cell>
          <cell r="E60" t="str">
            <v>T8 High Performance</v>
          </cell>
          <cell r="F60">
            <v>12000</v>
          </cell>
          <cell r="G60">
            <v>12.58</v>
          </cell>
          <cell r="H60">
            <v>0.09</v>
          </cell>
        </row>
        <row r="61">
          <cell r="B61" t="str">
            <v>T12 8' Fluorescent, 1-215 Watt VHO Lamp, Magnetic Ballast</v>
          </cell>
          <cell r="C61">
            <v>230</v>
          </cell>
          <cell r="D61">
            <v>9525.6</v>
          </cell>
          <cell r="E61" t="str">
            <v>T8 High Performance</v>
          </cell>
          <cell r="F61">
            <v>12000</v>
          </cell>
          <cell r="G61">
            <v>11.58</v>
          </cell>
          <cell r="H61">
            <v>0.09</v>
          </cell>
        </row>
        <row r="62">
          <cell r="B62" t="str">
            <v>----------------------------</v>
          </cell>
        </row>
        <row r="63">
          <cell r="B63" t="str">
            <v>T12 8' Fluorescent, 2-60 Watt ES Lamps, Energy Efficient Ballast</v>
          </cell>
          <cell r="C63">
            <v>123</v>
          </cell>
          <cell r="D63">
            <v>8321.5</v>
          </cell>
          <cell r="E63" t="str">
            <v>T8 High Performance</v>
          </cell>
          <cell r="F63">
            <v>12000</v>
          </cell>
          <cell r="G63">
            <v>6</v>
          </cell>
          <cell r="H63">
            <v>0.09</v>
          </cell>
        </row>
        <row r="64">
          <cell r="B64" t="str">
            <v>T12 8' Fluorescent, 2-60 Watt ES Lamps, Magnetic Ballast</v>
          </cell>
          <cell r="C64">
            <v>138</v>
          </cell>
          <cell r="D64">
            <v>8517.2999999999993</v>
          </cell>
          <cell r="E64" t="str">
            <v>T8 High Performance</v>
          </cell>
          <cell r="F64">
            <v>12000</v>
          </cell>
          <cell r="G64">
            <v>6</v>
          </cell>
          <cell r="H64">
            <v>0.09</v>
          </cell>
        </row>
        <row r="65">
          <cell r="B65" t="str">
            <v>T12 8' Fluorescent, 2-75 Watt Lamps, Energy Efficient Ballast</v>
          </cell>
          <cell r="C65">
            <v>158</v>
          </cell>
          <cell r="D65">
            <v>10180.709999999999</v>
          </cell>
          <cell r="E65" t="str">
            <v>T8 High Performance</v>
          </cell>
          <cell r="F65">
            <v>12000</v>
          </cell>
          <cell r="G65">
            <v>7.02</v>
          </cell>
          <cell r="H65">
            <v>0.09</v>
          </cell>
        </row>
        <row r="66">
          <cell r="B66" t="str">
            <v>T12 8' Fluorescent, 2-75 Watt Lamps, Magnetic Ballast</v>
          </cell>
          <cell r="C66">
            <v>173</v>
          </cell>
          <cell r="D66">
            <v>10290.18</v>
          </cell>
          <cell r="E66" t="str">
            <v>T8 High Performance</v>
          </cell>
          <cell r="F66">
            <v>12000</v>
          </cell>
          <cell r="G66">
            <v>7.02</v>
          </cell>
          <cell r="H66">
            <v>0.09</v>
          </cell>
        </row>
        <row r="67">
          <cell r="B67" t="str">
            <v>T12 8' Fluorescent, 2-95 Watt HO ES Lamps, Magnetic Ballast</v>
          </cell>
          <cell r="C67">
            <v>227</v>
          </cell>
          <cell r="D67">
            <v>11457.6</v>
          </cell>
          <cell r="E67" t="str">
            <v>T8 High Performance</v>
          </cell>
          <cell r="F67">
            <v>12000</v>
          </cell>
          <cell r="G67">
            <v>7.63</v>
          </cell>
          <cell r="H67">
            <v>0.09</v>
          </cell>
        </row>
        <row r="68">
          <cell r="B68" t="str">
            <v>T12 8' Fluorescent, 2-110 Watt HO Lamps, Energy Efficient Ballast</v>
          </cell>
          <cell r="C68">
            <v>237</v>
          </cell>
          <cell r="D68">
            <v>13431.88</v>
          </cell>
          <cell r="E68" t="str">
            <v>T8 High Performance</v>
          </cell>
          <cell r="F68">
            <v>12000</v>
          </cell>
          <cell r="G68">
            <v>7.02</v>
          </cell>
          <cell r="H68">
            <v>0.09</v>
          </cell>
        </row>
        <row r="69">
          <cell r="B69" t="str">
            <v>T12 8' Fluorescent, 2-110 Watt HO Lamps, Magnetic Ballast</v>
          </cell>
          <cell r="C69">
            <v>252</v>
          </cell>
          <cell r="D69">
            <v>13431.88</v>
          </cell>
          <cell r="E69" t="str">
            <v>T8 High Performance</v>
          </cell>
          <cell r="F69">
            <v>12000</v>
          </cell>
          <cell r="G69">
            <v>7.02</v>
          </cell>
          <cell r="H69">
            <v>0.09</v>
          </cell>
        </row>
        <row r="70">
          <cell r="B70" t="str">
            <v>T12 8' Fluorescent, 2-185 Watt VHO ES Lamps, Magnetic Ballast</v>
          </cell>
          <cell r="C70">
            <v>325</v>
          </cell>
          <cell r="D70">
            <v>16740</v>
          </cell>
          <cell r="E70" t="str">
            <v>T8 High Performance</v>
          </cell>
          <cell r="F70">
            <v>12000</v>
          </cell>
          <cell r="G70">
            <v>12.58</v>
          </cell>
          <cell r="H70">
            <v>0.09</v>
          </cell>
        </row>
        <row r="71">
          <cell r="B71" t="str">
            <v>T12 8' Fluorescent, 2-215 Watt VHO Lamps, Magnetic Ballast</v>
          </cell>
          <cell r="C71">
            <v>440</v>
          </cell>
          <cell r="D71">
            <v>19051.2</v>
          </cell>
          <cell r="E71" t="str">
            <v>T8 High Performance</v>
          </cell>
          <cell r="F71">
            <v>12000</v>
          </cell>
          <cell r="G71">
            <v>11.58</v>
          </cell>
          <cell r="H71">
            <v>0.09</v>
          </cell>
        </row>
        <row r="72">
          <cell r="B72" t="str">
            <v>----------------------------</v>
          </cell>
        </row>
        <row r="73">
          <cell r="B73" t="str">
            <v>T12 8' Fluorescent, 3-60 Watt ES Lamps, Magnetic Ballasts</v>
          </cell>
          <cell r="C73">
            <v>220</v>
          </cell>
          <cell r="D73">
            <v>12775.95</v>
          </cell>
          <cell r="E73" t="str">
            <v>T8 High Performance</v>
          </cell>
          <cell r="F73">
            <v>12000</v>
          </cell>
          <cell r="G73">
            <v>6</v>
          </cell>
          <cell r="H73">
            <v>0.09</v>
          </cell>
        </row>
        <row r="74">
          <cell r="B74" t="str">
            <v>T12 8' Fluorescent, 3-75 Watt Lamps, Magnetic Ballasts</v>
          </cell>
          <cell r="C74">
            <v>274</v>
          </cell>
          <cell r="D74">
            <v>15435.27</v>
          </cell>
          <cell r="E74" t="str">
            <v>T8 High Performance</v>
          </cell>
          <cell r="F74">
            <v>12000</v>
          </cell>
          <cell r="G74">
            <v>7.02</v>
          </cell>
          <cell r="H74">
            <v>0.09</v>
          </cell>
        </row>
        <row r="75">
          <cell r="B75" t="str">
            <v>T12 8' Fluorescent, 3-95 Watt HO ES Lamps, Magnetic Ballasts</v>
          </cell>
          <cell r="C75">
            <v>352</v>
          </cell>
          <cell r="D75">
            <v>17186.400000000001</v>
          </cell>
          <cell r="E75" t="str">
            <v>T8 High Performance</v>
          </cell>
          <cell r="F75">
            <v>12000</v>
          </cell>
          <cell r="G75">
            <v>7.63</v>
          </cell>
          <cell r="H75">
            <v>0.09</v>
          </cell>
        </row>
        <row r="76">
          <cell r="B76" t="str">
            <v>T12 8' Fluorescent, 3-110 Watt HO Lamps, Energy Efficient Ballasts</v>
          </cell>
          <cell r="C76">
            <v>392</v>
          </cell>
          <cell r="D76">
            <v>20147.82</v>
          </cell>
          <cell r="E76" t="str">
            <v>T8 High Performance</v>
          </cell>
          <cell r="F76">
            <v>12000</v>
          </cell>
          <cell r="G76">
            <v>7.02</v>
          </cell>
          <cell r="H76">
            <v>0.09</v>
          </cell>
        </row>
        <row r="77">
          <cell r="B77" t="str">
            <v>----------------------------</v>
          </cell>
        </row>
        <row r="78">
          <cell r="B78" t="str">
            <v>T12 8' Fluorescent, 4-60 Watt ES Lamps, Energy Efficient Ballast</v>
          </cell>
          <cell r="C78">
            <v>246</v>
          </cell>
          <cell r="D78">
            <v>16643</v>
          </cell>
          <cell r="E78" t="str">
            <v>T8 High Performance</v>
          </cell>
          <cell r="F78">
            <v>12000</v>
          </cell>
          <cell r="G78">
            <v>6</v>
          </cell>
          <cell r="H78">
            <v>0.09</v>
          </cell>
        </row>
        <row r="79">
          <cell r="B79" t="str">
            <v>T12 8' Fluorescent, 4-60 Watt ES Lamps, Magnetic Ballast</v>
          </cell>
          <cell r="C79">
            <v>276</v>
          </cell>
          <cell r="D79">
            <v>17034.599999999999</v>
          </cell>
          <cell r="E79" t="str">
            <v>T8 High Performance</v>
          </cell>
          <cell r="F79">
            <v>12000</v>
          </cell>
          <cell r="G79">
            <v>6</v>
          </cell>
          <cell r="H79">
            <v>0.09</v>
          </cell>
        </row>
        <row r="80">
          <cell r="B80" t="str">
            <v>T12 8' Fluorescent, 4-75 Watt Lamps, Energy Efficient Ballasts</v>
          </cell>
          <cell r="C80">
            <v>316</v>
          </cell>
          <cell r="D80">
            <v>20361.419999999998</v>
          </cell>
          <cell r="E80" t="str">
            <v>T8 High Performance</v>
          </cell>
          <cell r="F80">
            <v>12000</v>
          </cell>
          <cell r="G80">
            <v>7.02</v>
          </cell>
          <cell r="H80">
            <v>0.09</v>
          </cell>
        </row>
        <row r="81">
          <cell r="B81" t="str">
            <v>T12 8' Fluorescent, 4-75 Watt Lamps, Magnetic Ballasts</v>
          </cell>
          <cell r="C81">
            <v>346</v>
          </cell>
          <cell r="D81">
            <v>20580.36</v>
          </cell>
          <cell r="E81" t="str">
            <v>T8 High Performance</v>
          </cell>
          <cell r="F81">
            <v>12000</v>
          </cell>
          <cell r="G81">
            <v>7.02</v>
          </cell>
          <cell r="H81">
            <v>0.09</v>
          </cell>
        </row>
        <row r="82">
          <cell r="B82" t="str">
            <v>T12 8' Fluorescent, 4-95 Watt HO ES Lamps, Energy Efficient Ballasts</v>
          </cell>
          <cell r="C82">
            <v>416</v>
          </cell>
          <cell r="D82">
            <v>22915.200000000001</v>
          </cell>
          <cell r="E82" t="str">
            <v>T8 High Performance</v>
          </cell>
          <cell r="F82">
            <v>12000</v>
          </cell>
          <cell r="G82">
            <v>7.63</v>
          </cell>
          <cell r="H82">
            <v>0.09</v>
          </cell>
        </row>
        <row r="83">
          <cell r="B83" t="str">
            <v>T12 8' Fluorescent, 4-95 Watt HO ES Lamps, Magnetic Ballasts</v>
          </cell>
          <cell r="C83">
            <v>454</v>
          </cell>
          <cell r="D83">
            <v>22915.200000000001</v>
          </cell>
          <cell r="E83" t="str">
            <v>T8 High Performance</v>
          </cell>
          <cell r="F83">
            <v>12000</v>
          </cell>
          <cell r="G83">
            <v>7.02</v>
          </cell>
          <cell r="H83">
            <v>0.09</v>
          </cell>
        </row>
        <row r="84">
          <cell r="B84" t="str">
            <v>T12 8' Fluorescent, 4-110 Watt HO Lamps, Energy Efficient Ballasts</v>
          </cell>
          <cell r="C84">
            <v>474</v>
          </cell>
          <cell r="D84">
            <v>26863.759999999998</v>
          </cell>
          <cell r="E84" t="str">
            <v>T8 High Performance</v>
          </cell>
          <cell r="F84">
            <v>12000</v>
          </cell>
          <cell r="G84">
            <v>7.02</v>
          </cell>
          <cell r="H84">
            <v>0.09</v>
          </cell>
        </row>
        <row r="85">
          <cell r="B85" t="str">
            <v>T12 8' Fluorescent, 4-110 Watt HO Lamps, Magnetic Ballasts</v>
          </cell>
          <cell r="C85">
            <v>504</v>
          </cell>
          <cell r="D85">
            <v>26863.759999999998</v>
          </cell>
          <cell r="E85" t="str">
            <v>T8 High Performance</v>
          </cell>
          <cell r="F85">
            <v>12000</v>
          </cell>
          <cell r="G85">
            <v>7.02</v>
          </cell>
          <cell r="H85">
            <v>0.09</v>
          </cell>
        </row>
        <row r="86">
          <cell r="B86" t="str">
            <v>T12 8' Fluorescent, 4-185 Watt VHO ES Lamps, Magnetic Ballasts</v>
          </cell>
          <cell r="C86">
            <v>650</v>
          </cell>
          <cell r="D86">
            <v>33480</v>
          </cell>
          <cell r="E86" t="str">
            <v>T8 High Performance</v>
          </cell>
          <cell r="F86">
            <v>12000</v>
          </cell>
          <cell r="G86">
            <v>12.58</v>
          </cell>
          <cell r="H86">
            <v>0.09</v>
          </cell>
        </row>
        <row r="87">
          <cell r="B87" t="str">
            <v>T12 8' Fluorescent, 4-215 Watt VHO Lamps, Magnetic Ballasts</v>
          </cell>
          <cell r="C87">
            <v>880</v>
          </cell>
          <cell r="D87">
            <v>38102.400000000001</v>
          </cell>
          <cell r="E87" t="str">
            <v>T8 High Performance</v>
          </cell>
          <cell r="F87">
            <v>12000</v>
          </cell>
          <cell r="G87">
            <v>11.58</v>
          </cell>
          <cell r="H87">
            <v>0.09</v>
          </cell>
        </row>
        <row r="88">
          <cell r="B88" t="str">
            <v>=================================</v>
          </cell>
        </row>
        <row r="89">
          <cell r="B89" t="str">
            <v>T12 FLUORESCENT (OTHER)</v>
          </cell>
        </row>
        <row r="90">
          <cell r="B90" t="str">
            <v>=================================</v>
          </cell>
        </row>
        <row r="91">
          <cell r="B91" t="str">
            <v>T12 Other Fluorescent, 1-20 Watt Lamp, Magnetic Ballast</v>
          </cell>
          <cell r="C91">
            <v>25</v>
          </cell>
          <cell r="D91">
            <v>943.5</v>
          </cell>
          <cell r="E91" t="str">
            <v>T8 High Performance</v>
          </cell>
          <cell r="F91">
            <v>9000</v>
          </cell>
          <cell r="G91">
            <v>2.17</v>
          </cell>
          <cell r="H91">
            <v>0.09</v>
          </cell>
        </row>
        <row r="92">
          <cell r="B92" t="str">
            <v>T12 Other Fluorescent, 1-25 Watt ES Lamp, Magnetic Ballast</v>
          </cell>
          <cell r="C92">
            <v>42</v>
          </cell>
          <cell r="D92">
            <v>1513.53125</v>
          </cell>
          <cell r="E92" t="str">
            <v>T8 High Performance</v>
          </cell>
          <cell r="F92">
            <v>18000</v>
          </cell>
          <cell r="G92">
            <v>3.89</v>
          </cell>
          <cell r="H92">
            <v>0.09</v>
          </cell>
        </row>
        <row r="93">
          <cell r="B93" t="str">
            <v>T12 Other Fluorescent, 1-30 Watt Lamp, Magnetic Ballast</v>
          </cell>
          <cell r="C93">
            <v>46</v>
          </cell>
          <cell r="D93">
            <v>1790.5687500000001</v>
          </cell>
          <cell r="E93" t="str">
            <v>T8 High Performance</v>
          </cell>
          <cell r="F93">
            <v>18000</v>
          </cell>
          <cell r="G93">
            <v>3.29</v>
          </cell>
          <cell r="H93">
            <v>0.09</v>
          </cell>
        </row>
        <row r="94">
          <cell r="B94" t="str">
            <v>T12 Other Fluorescent, 1-40 Watt Lamp, Energy Efficient Ballast</v>
          </cell>
          <cell r="C94">
            <v>48</v>
          </cell>
          <cell r="D94">
            <v>2234.4</v>
          </cell>
          <cell r="E94" t="str">
            <v>T8 High Performance</v>
          </cell>
          <cell r="F94">
            <v>18000</v>
          </cell>
          <cell r="G94">
            <v>5.09</v>
          </cell>
          <cell r="H94">
            <v>0.09</v>
          </cell>
        </row>
        <row r="95">
          <cell r="B95" t="str">
            <v>----------------------------</v>
          </cell>
        </row>
        <row r="96">
          <cell r="B96" t="str">
            <v>T12 Other Fluorescent, 2-20 Watt Lamps, Magnetic Pre-Heat Ballast</v>
          </cell>
          <cell r="C96">
            <v>50</v>
          </cell>
          <cell r="D96">
            <v>1887</v>
          </cell>
          <cell r="E96" t="str">
            <v>T8 High Performance</v>
          </cell>
          <cell r="F96">
            <v>9000</v>
          </cell>
          <cell r="G96">
            <v>2.17</v>
          </cell>
          <cell r="H96">
            <v>0.09</v>
          </cell>
        </row>
        <row r="97">
          <cell r="B97" t="str">
            <v>T12 Other Fluorescent, 2-25 Watt ES Lamps, Energy Efficient Ballast</v>
          </cell>
          <cell r="C97">
            <v>66</v>
          </cell>
          <cell r="D97">
            <v>3027.0625</v>
          </cell>
          <cell r="E97" t="str">
            <v>T8 High Performance</v>
          </cell>
          <cell r="F97">
            <v>18000</v>
          </cell>
          <cell r="G97">
            <v>3.89</v>
          </cell>
          <cell r="H97">
            <v>0.09</v>
          </cell>
        </row>
        <row r="98">
          <cell r="B98" t="str">
            <v>T12 Other Fluorescent, 2-30 Watt Lamps, Magnetic Pre-Heat Ballast</v>
          </cell>
          <cell r="C98">
            <v>74</v>
          </cell>
          <cell r="D98">
            <v>3581.1375000000003</v>
          </cell>
          <cell r="E98" t="str">
            <v>T8 High Performance</v>
          </cell>
          <cell r="F98">
            <v>18000</v>
          </cell>
          <cell r="G98">
            <v>3.29</v>
          </cell>
          <cell r="H98">
            <v>0.09</v>
          </cell>
        </row>
        <row r="99">
          <cell r="B99" t="str">
            <v>T12 Other Fluorescent, 2-25 Watt ES Lamps, Magnetic Ballast</v>
          </cell>
          <cell r="C99">
            <v>74</v>
          </cell>
          <cell r="D99">
            <v>3027.0625</v>
          </cell>
          <cell r="E99" t="str">
            <v>T8 High Performance</v>
          </cell>
          <cell r="F99">
            <v>18000</v>
          </cell>
          <cell r="G99">
            <v>3.89</v>
          </cell>
          <cell r="H99">
            <v>0.09</v>
          </cell>
        </row>
        <row r="100">
          <cell r="B100" t="str">
            <v>T12 Other Fluorescent, 2- 30 Watt Lamps, Magnetic Ballast</v>
          </cell>
          <cell r="C100">
            <v>79</v>
          </cell>
          <cell r="D100">
            <v>3334.1625000000004</v>
          </cell>
          <cell r="E100" t="str">
            <v>T8 High Performance</v>
          </cell>
          <cell r="F100">
            <v>18000</v>
          </cell>
          <cell r="G100">
            <v>3.29</v>
          </cell>
          <cell r="H100">
            <v>0.09</v>
          </cell>
        </row>
        <row r="101">
          <cell r="B101" t="str">
            <v>T12 Other Fluorescent, 2-40 Watt Lamps, Energy Efficient Ballast</v>
          </cell>
          <cell r="C101">
            <v>86</v>
          </cell>
          <cell r="D101">
            <v>4468.8</v>
          </cell>
          <cell r="E101" t="str">
            <v>T8 High Performance</v>
          </cell>
          <cell r="F101">
            <v>18000</v>
          </cell>
          <cell r="G101">
            <v>5.09</v>
          </cell>
          <cell r="H101">
            <v>0.09</v>
          </cell>
        </row>
        <row r="102">
          <cell r="B102" t="str">
            <v>----------------------------</v>
          </cell>
          <cell r="C102" t="str">
            <v xml:space="preserve"> </v>
          </cell>
        </row>
        <row r="103">
          <cell r="B103" t="str">
            <v>T12 5' Fluorescent, 1-75 Watt HO Lamp, Magnetic Ballast</v>
          </cell>
          <cell r="C103">
            <v>90</v>
          </cell>
          <cell r="D103">
            <v>4212</v>
          </cell>
          <cell r="E103" t="str">
            <v>T8 High Performance</v>
          </cell>
        </row>
        <row r="104">
          <cell r="B104" t="str">
            <v>T12 5' Fluorescent, 2-75 Watt HO Lamps, Magnetic Ballast</v>
          </cell>
          <cell r="C104">
            <v>180</v>
          </cell>
          <cell r="D104">
            <v>8424</v>
          </cell>
          <cell r="E104" t="str">
            <v>T8 High Performance</v>
          </cell>
        </row>
        <row r="105">
          <cell r="B105" t="str">
            <v>T12 6' Fluorescent, 1-85 Watt HO Lamp, Magnetic Ballast</v>
          </cell>
          <cell r="C105">
            <v>102</v>
          </cell>
          <cell r="D105">
            <v>5063</v>
          </cell>
          <cell r="E105" t="str">
            <v>T8 High Performance</v>
          </cell>
          <cell r="F105">
            <v>12000</v>
          </cell>
          <cell r="G105">
            <v>4.28</v>
          </cell>
          <cell r="H105">
            <v>0.09</v>
          </cell>
        </row>
        <row r="106">
          <cell r="B106" t="str">
            <v>T12 6' Fluorescent, 2-85 Watt HO Lamps, Magnetic Ballast</v>
          </cell>
          <cell r="C106">
            <v>204</v>
          </cell>
          <cell r="D106">
            <v>10126</v>
          </cell>
          <cell r="E106" t="str">
            <v>T8 High Performance</v>
          </cell>
        </row>
        <row r="107">
          <cell r="B107" t="str">
            <v>=================================</v>
          </cell>
        </row>
        <row r="108">
          <cell r="B108" t="str">
            <v>METAL HALIDE</v>
          </cell>
        </row>
        <row r="109">
          <cell r="B109" t="str">
            <v>=================================</v>
          </cell>
        </row>
        <row r="110">
          <cell r="B110" t="str">
            <v>Metal Halide, 50 Watt Lamp</v>
          </cell>
          <cell r="C110">
            <v>62</v>
          </cell>
          <cell r="D110">
            <v>2006</v>
          </cell>
          <cell r="E110" t="str">
            <v>Hard-Wired CFL, 1-32 Watt Lamp (new fixture)</v>
          </cell>
          <cell r="F110">
            <v>10000</v>
          </cell>
          <cell r="G110">
            <v>23.01</v>
          </cell>
          <cell r="H110">
            <v>0.4</v>
          </cell>
        </row>
        <row r="111">
          <cell r="B111" t="str">
            <v>Metal Halide, 70 Watt Lamp</v>
          </cell>
          <cell r="C111">
            <v>90</v>
          </cell>
          <cell r="D111">
            <v>2950</v>
          </cell>
          <cell r="E111" t="str">
            <v>Hard-Wired CFL,  2-26 Watt Lamps (new fixture)</v>
          </cell>
          <cell r="F111">
            <v>10000</v>
          </cell>
          <cell r="G111">
            <v>23.01</v>
          </cell>
          <cell r="H111">
            <v>0.4</v>
          </cell>
        </row>
        <row r="112">
          <cell r="B112" t="str">
            <v>Metal Halide, 100 Watt Lamp</v>
          </cell>
          <cell r="C112">
            <v>129</v>
          </cell>
          <cell r="D112">
            <v>5440</v>
          </cell>
          <cell r="E112" t="str">
            <v>Hard-Wired CFL,  2-42 Watt Lamps (new fixture)</v>
          </cell>
          <cell r="F112">
            <v>10000</v>
          </cell>
          <cell r="G112">
            <v>18.399999999999999</v>
          </cell>
          <cell r="H112">
            <v>0.4</v>
          </cell>
        </row>
        <row r="113">
          <cell r="B113" t="str">
            <v>Metal Halide, 150 Watt Lamp</v>
          </cell>
          <cell r="C113">
            <v>185</v>
          </cell>
          <cell r="D113">
            <v>8640</v>
          </cell>
          <cell r="E113" t="str">
            <v>Hard-Wired CFL, 4-26 Watt Lamps (new fixture)</v>
          </cell>
          <cell r="F113">
            <v>10000</v>
          </cell>
          <cell r="G113">
            <v>18.399999999999999</v>
          </cell>
          <cell r="H113">
            <v>0.4</v>
          </cell>
        </row>
        <row r="114">
          <cell r="B114" t="str">
            <v>Metal Halide, 175 Watt Lamp</v>
          </cell>
          <cell r="C114">
            <v>210</v>
          </cell>
          <cell r="D114">
            <v>9400</v>
          </cell>
          <cell r="E114" t="str">
            <v>2 Lamp T5 High Output (high bay) New Fixture</v>
          </cell>
          <cell r="F114">
            <v>10000</v>
          </cell>
          <cell r="G114">
            <v>18.399999999999999</v>
          </cell>
          <cell r="H114">
            <v>0.4</v>
          </cell>
        </row>
        <row r="115">
          <cell r="B115" t="str">
            <v>Metal Halide, 250 Watt Lamp</v>
          </cell>
          <cell r="C115">
            <v>295</v>
          </cell>
          <cell r="D115">
            <v>11300</v>
          </cell>
          <cell r="E115" t="str">
            <v>3 Lamp T5 High Output (high bay) New Fixture</v>
          </cell>
          <cell r="F115">
            <v>10000</v>
          </cell>
          <cell r="G115">
            <v>18.399999999999999</v>
          </cell>
          <cell r="H115">
            <v>0.4</v>
          </cell>
        </row>
        <row r="116">
          <cell r="B116" t="str">
            <v>Metal Halide, 320 Watt Lamp</v>
          </cell>
          <cell r="C116">
            <v>378</v>
          </cell>
          <cell r="D116">
            <v>14464</v>
          </cell>
          <cell r="E116" t="str">
            <v>3 Lamp T5 High Output (high bay) New Fixture</v>
          </cell>
        </row>
        <row r="117">
          <cell r="B117" t="str">
            <v>Metal Halide, 400 Watt Lamp</v>
          </cell>
          <cell r="C117">
            <v>458</v>
          </cell>
          <cell r="D117">
            <v>26000</v>
          </cell>
          <cell r="E117" t="str">
            <v>4 Lamp T5 High Output (high bay) New Fixture</v>
          </cell>
          <cell r="F117">
            <v>10000</v>
          </cell>
          <cell r="G117">
            <v>18.399999999999999</v>
          </cell>
          <cell r="H117">
            <v>0.4</v>
          </cell>
        </row>
        <row r="118">
          <cell r="B118" t="str">
            <v>Metal Halide, 1000 Watt Lamp</v>
          </cell>
          <cell r="C118">
            <v>1080</v>
          </cell>
          <cell r="D118">
            <v>78000</v>
          </cell>
          <cell r="E118" t="str">
            <v>Metal Halide Pulse Start, 750 Watt</v>
          </cell>
          <cell r="F118">
            <v>10000</v>
          </cell>
          <cell r="G118">
            <v>41.41</v>
          </cell>
          <cell r="H118">
            <v>0.4</v>
          </cell>
        </row>
        <row r="119">
          <cell r="B119" t="str">
            <v>Metal Halide, 1500 Watt Lamp</v>
          </cell>
          <cell r="C119">
            <v>1605</v>
          </cell>
          <cell r="D119">
            <v>132000</v>
          </cell>
          <cell r="E119" t="str">
            <v>Metal Halide Pulse Start, 1000 Watt</v>
          </cell>
          <cell r="F119">
            <v>10000</v>
          </cell>
          <cell r="G119">
            <v>47.41</v>
          </cell>
          <cell r="H119">
            <v>0.4</v>
          </cell>
        </row>
        <row r="120">
          <cell r="B120" t="str">
            <v>=================================</v>
          </cell>
        </row>
        <row r="121">
          <cell r="B121" t="str">
            <v>INCANDESCENT</v>
          </cell>
        </row>
        <row r="122">
          <cell r="B122" t="str">
            <v>=================================</v>
          </cell>
        </row>
        <row r="123">
          <cell r="B123" t="str">
            <v>Incandescent, 1-15 Watt Typical Bulb</v>
          </cell>
          <cell r="C123">
            <v>15</v>
          </cell>
          <cell r="D123">
            <v>95.45</v>
          </cell>
          <cell r="E123" t="str">
            <v>Screw-In CFL, 5 Watt</v>
          </cell>
          <cell r="F123">
            <v>1500</v>
          </cell>
          <cell r="G123">
            <v>0.67</v>
          </cell>
          <cell r="H123">
            <v>0.05</v>
          </cell>
        </row>
        <row r="124">
          <cell r="B124" t="str">
            <v>Incandescent, 1-25 Watt Typical Bulb</v>
          </cell>
          <cell r="C124">
            <v>25</v>
          </cell>
          <cell r="D124">
            <v>169.85</v>
          </cell>
          <cell r="E124" t="str">
            <v>Screw-In CFL, 7 Watt</v>
          </cell>
          <cell r="F124">
            <v>1500</v>
          </cell>
          <cell r="G124">
            <v>0.67</v>
          </cell>
          <cell r="H124">
            <v>0.05</v>
          </cell>
        </row>
        <row r="125">
          <cell r="B125" t="str">
            <v>Incandescent, 1-40 Watt Typical Bulb</v>
          </cell>
          <cell r="C125">
            <v>40</v>
          </cell>
          <cell r="D125">
            <v>402.5</v>
          </cell>
          <cell r="E125" t="str">
            <v>Screw-In CFL, 9 Watt</v>
          </cell>
          <cell r="F125">
            <v>1500</v>
          </cell>
          <cell r="G125">
            <v>0.67</v>
          </cell>
          <cell r="H125">
            <v>0.05</v>
          </cell>
        </row>
        <row r="126">
          <cell r="B126" t="str">
            <v>Incandescent, 1-50 Watt Typical Bulb</v>
          </cell>
          <cell r="C126">
            <v>50</v>
          </cell>
          <cell r="D126">
            <v>428.75</v>
          </cell>
          <cell r="E126" t="str">
            <v>Screw-In CFL, 13 Watt</v>
          </cell>
          <cell r="F126">
            <v>1200</v>
          </cell>
          <cell r="G126">
            <v>0.67</v>
          </cell>
          <cell r="H126">
            <v>0.05</v>
          </cell>
        </row>
        <row r="127">
          <cell r="B127" t="str">
            <v>Incandescent, 1-60 Watt Typical Bulb</v>
          </cell>
          <cell r="C127">
            <v>60</v>
          </cell>
          <cell r="D127">
            <v>799.8</v>
          </cell>
          <cell r="E127" t="str">
            <v>Screw-In CFL, 15 Watt</v>
          </cell>
          <cell r="F127">
            <v>1200</v>
          </cell>
          <cell r="G127">
            <v>0.52</v>
          </cell>
          <cell r="H127">
            <v>0.05</v>
          </cell>
        </row>
        <row r="128">
          <cell r="B128" t="str">
            <v>Incandescent, 1-75 Watt Typical Bulb</v>
          </cell>
          <cell r="C128">
            <v>75</v>
          </cell>
          <cell r="D128">
            <v>1085.5999999999999</v>
          </cell>
          <cell r="E128" t="str">
            <v>Screw-In CFL, 20 Watt</v>
          </cell>
          <cell r="F128">
            <v>1200</v>
          </cell>
          <cell r="G128">
            <v>0.52</v>
          </cell>
          <cell r="H128">
            <v>0.05</v>
          </cell>
        </row>
        <row r="129">
          <cell r="B129" t="str">
            <v>Incandescent, 1-100 Watt Typical Bulb</v>
          </cell>
          <cell r="C129">
            <v>100</v>
          </cell>
          <cell r="D129">
            <v>1548</v>
          </cell>
          <cell r="E129" t="str">
            <v>Screw-In CFL, 26 Watt</v>
          </cell>
          <cell r="F129">
            <v>1000</v>
          </cell>
          <cell r="G129">
            <v>0.52</v>
          </cell>
          <cell r="H129">
            <v>0.05</v>
          </cell>
        </row>
        <row r="130">
          <cell r="B130" t="str">
            <v>Incandescent, 1-150 Watt Typical Bulb</v>
          </cell>
          <cell r="C130">
            <v>150</v>
          </cell>
          <cell r="D130">
            <v>2536.5</v>
          </cell>
          <cell r="E130" t="str">
            <v>Screw-In CFL, 42 Watt</v>
          </cell>
          <cell r="F130">
            <v>1000</v>
          </cell>
          <cell r="G130">
            <v>0.52</v>
          </cell>
          <cell r="H130">
            <v>0.05</v>
          </cell>
        </row>
        <row r="131">
          <cell r="B131" t="str">
            <v>----------------------------</v>
          </cell>
        </row>
        <row r="132">
          <cell r="B132" t="str">
            <v>Incandescent, 2-15 Watt Typical Bulbs</v>
          </cell>
          <cell r="C132">
            <v>30</v>
          </cell>
          <cell r="D132">
            <v>190.9</v>
          </cell>
          <cell r="E132" t="str">
            <v>Screw-In CFL, 2-5 Watt</v>
          </cell>
          <cell r="F132">
            <v>1500</v>
          </cell>
          <cell r="G132">
            <v>0.67</v>
          </cell>
          <cell r="H132">
            <v>0.05</v>
          </cell>
        </row>
        <row r="133">
          <cell r="B133" t="str">
            <v>Incandescent, 2-25 Watt Typical Bulbs</v>
          </cell>
          <cell r="C133">
            <v>50</v>
          </cell>
          <cell r="D133">
            <v>339.7</v>
          </cell>
          <cell r="E133" t="str">
            <v>Screw-In CFL, 2-7 Watt</v>
          </cell>
          <cell r="F133">
            <v>1500</v>
          </cell>
          <cell r="G133">
            <v>0.67</v>
          </cell>
          <cell r="H133">
            <v>0.05</v>
          </cell>
        </row>
        <row r="134">
          <cell r="B134" t="str">
            <v>Incandescent, 2-40 Watt Typical Bulbs</v>
          </cell>
          <cell r="C134">
            <v>80</v>
          </cell>
          <cell r="D134">
            <v>805</v>
          </cell>
          <cell r="E134" t="str">
            <v>Screw-In CFL, 2-9 Watt</v>
          </cell>
          <cell r="F134">
            <v>1500</v>
          </cell>
          <cell r="G134">
            <v>0.67</v>
          </cell>
          <cell r="H134">
            <v>0.05</v>
          </cell>
        </row>
        <row r="135">
          <cell r="B135" t="str">
            <v>Incandescent, 2-50 Watt Typical Bulbs</v>
          </cell>
          <cell r="C135">
            <v>100</v>
          </cell>
          <cell r="D135">
            <v>857.5</v>
          </cell>
          <cell r="E135" t="str">
            <v>Screw-In CFL, 2-13 Watt</v>
          </cell>
          <cell r="F135">
            <v>1200</v>
          </cell>
          <cell r="G135">
            <v>0.67</v>
          </cell>
          <cell r="H135">
            <v>0.05</v>
          </cell>
        </row>
        <row r="136">
          <cell r="B136" t="str">
            <v>Incandescent, 2-60 Watt Typical Bulbs</v>
          </cell>
          <cell r="C136">
            <v>120</v>
          </cell>
          <cell r="D136">
            <v>1599.6</v>
          </cell>
          <cell r="E136" t="str">
            <v>Screw-In CFL, 2-15 Watt</v>
          </cell>
          <cell r="F136">
            <v>1200</v>
          </cell>
          <cell r="G136">
            <v>0.52</v>
          </cell>
          <cell r="H136">
            <v>0.05</v>
          </cell>
        </row>
        <row r="137">
          <cell r="B137" t="str">
            <v>Incandescent, 2-75 Watt Typical Bulbs</v>
          </cell>
          <cell r="C137">
            <v>150</v>
          </cell>
          <cell r="D137">
            <v>2171.1999999999998</v>
          </cell>
          <cell r="E137" t="str">
            <v>Screw-In CFL, 2-20 Watt</v>
          </cell>
          <cell r="F137">
            <v>1200</v>
          </cell>
          <cell r="G137">
            <v>0.52</v>
          </cell>
          <cell r="H137">
            <v>0.05</v>
          </cell>
        </row>
        <row r="138">
          <cell r="B138" t="str">
            <v>Incandescent, 2-100 Watt Typical Bulbs</v>
          </cell>
          <cell r="C138">
            <v>200</v>
          </cell>
          <cell r="D138">
            <v>3096</v>
          </cell>
          <cell r="E138" t="str">
            <v>Screw-In CFL, 2-26 Watt</v>
          </cell>
          <cell r="F138">
            <v>1000</v>
          </cell>
          <cell r="G138">
            <v>0.52</v>
          </cell>
          <cell r="H138">
            <v>0.05</v>
          </cell>
        </row>
        <row r="139">
          <cell r="B139" t="str">
            <v>Incandescent, 2-150 Watt Typical Bulbs</v>
          </cell>
          <cell r="C139">
            <v>300</v>
          </cell>
          <cell r="D139">
            <v>5073</v>
          </cell>
          <cell r="E139" t="str">
            <v>Screw-In CFL, 2-42 Watt</v>
          </cell>
          <cell r="F139">
            <v>1000</v>
          </cell>
          <cell r="G139">
            <v>0.52</v>
          </cell>
          <cell r="H139">
            <v>0.05</v>
          </cell>
        </row>
        <row r="140">
          <cell r="B140" t="str">
            <v>----------------------------</v>
          </cell>
        </row>
        <row r="141">
          <cell r="B141" t="str">
            <v>Incandescent, 4-40 Watt Typical Bulbs</v>
          </cell>
          <cell r="C141">
            <v>160</v>
          </cell>
          <cell r="D141">
            <v>1610</v>
          </cell>
          <cell r="E141" t="str">
            <v>Screw-In CFL, 4-9 Watt</v>
          </cell>
          <cell r="F141">
            <v>1500</v>
          </cell>
          <cell r="G141">
            <v>0.67</v>
          </cell>
          <cell r="H141">
            <v>0.05</v>
          </cell>
        </row>
        <row r="142">
          <cell r="B142" t="str">
            <v>Incandescent, 4-60 Watt Typical Bulbs</v>
          </cell>
          <cell r="C142">
            <v>240</v>
          </cell>
          <cell r="D142">
            <v>3199.2</v>
          </cell>
          <cell r="E142" t="str">
            <v>Screw-In CFL, 4-15 Watt</v>
          </cell>
          <cell r="F142">
            <v>1200</v>
          </cell>
          <cell r="G142">
            <v>0.67</v>
          </cell>
          <cell r="H142">
            <v>0.05</v>
          </cell>
        </row>
        <row r="143">
          <cell r="B143" t="str">
            <v>Incandescent, 4-75 Watt Typical Bulbs</v>
          </cell>
          <cell r="C143">
            <v>300</v>
          </cell>
          <cell r="D143">
            <v>4342.3999999999996</v>
          </cell>
          <cell r="E143" t="str">
            <v>Screw-In CFL, 4-20 Watt</v>
          </cell>
          <cell r="F143">
            <v>1200</v>
          </cell>
          <cell r="G143">
            <v>0.52</v>
          </cell>
          <cell r="H143">
            <v>0.05</v>
          </cell>
        </row>
        <row r="144">
          <cell r="B144" t="str">
            <v>Incandescent, 4-100 Watt Typical Bulbs</v>
          </cell>
          <cell r="C144">
            <v>400</v>
          </cell>
          <cell r="D144">
            <v>6192</v>
          </cell>
          <cell r="E144" t="str">
            <v>Screw-In CFL, 4-26 Watt</v>
          </cell>
          <cell r="F144">
            <v>1200</v>
          </cell>
          <cell r="G144">
            <v>0.52</v>
          </cell>
          <cell r="H144">
            <v>0.05</v>
          </cell>
        </row>
        <row r="145">
          <cell r="B145" t="str">
            <v>----------------------------</v>
          </cell>
        </row>
        <row r="146">
          <cell r="B146" t="str">
            <v>Incandescent, 1-65 Watt PAR Lamp</v>
          </cell>
          <cell r="C146">
            <v>65</v>
          </cell>
          <cell r="D146">
            <v>607.5</v>
          </cell>
          <cell r="E146" t="str">
            <v>New LED Downlight (recessed can, LR6 or equivalent)</v>
          </cell>
          <cell r="F146">
            <v>2000</v>
          </cell>
          <cell r="G146">
            <v>4</v>
          </cell>
          <cell r="H146">
            <v>0.09</v>
          </cell>
        </row>
        <row r="147">
          <cell r="B147" t="str">
            <v>Incandescent, 75 Watt Reflector Lamp</v>
          </cell>
          <cell r="C147">
            <v>75</v>
          </cell>
          <cell r="D147">
            <v>801</v>
          </cell>
          <cell r="E147" t="str">
            <v>New LED Downlight (recessed can, LR6 or equivalent)</v>
          </cell>
          <cell r="F147">
            <v>2000</v>
          </cell>
          <cell r="G147">
            <v>7</v>
          </cell>
          <cell r="H147">
            <v>0.09</v>
          </cell>
        </row>
        <row r="148">
          <cell r="B148" t="str">
            <v>Incandescent, 90 Watt  Reflector Lamp</v>
          </cell>
          <cell r="C148">
            <v>90</v>
          </cell>
          <cell r="D148">
            <v>1071</v>
          </cell>
          <cell r="E148" t="str">
            <v>Screw-in Ceramic Metal Halide (self-ballasted)</v>
          </cell>
          <cell r="F148">
            <v>2000</v>
          </cell>
          <cell r="G148">
            <v>7</v>
          </cell>
          <cell r="H148">
            <v>0.09</v>
          </cell>
        </row>
        <row r="149">
          <cell r="B149" t="str">
            <v>Incandescent, 100 Watt Reflector Lamp</v>
          </cell>
          <cell r="C149">
            <v>100</v>
          </cell>
          <cell r="D149">
            <v>1071</v>
          </cell>
          <cell r="E149" t="str">
            <v>Screw-in Ceramic Metal Halide (self-ballasted)</v>
          </cell>
          <cell r="F149">
            <v>2000</v>
          </cell>
          <cell r="G149">
            <v>7</v>
          </cell>
          <cell r="H149">
            <v>0.09</v>
          </cell>
        </row>
        <row r="150">
          <cell r="B150" t="str">
            <v>Incandescent, 120 Watt Reflector Lamp</v>
          </cell>
          <cell r="C150">
            <v>120</v>
          </cell>
          <cell r="D150">
            <v>1440</v>
          </cell>
          <cell r="E150" t="str">
            <v>Ceramic Metal Halide, 1-39 Watt PAR Lamp</v>
          </cell>
          <cell r="F150">
            <v>2000</v>
          </cell>
          <cell r="G150">
            <v>7</v>
          </cell>
          <cell r="H150">
            <v>0.09</v>
          </cell>
        </row>
        <row r="151">
          <cell r="B151" t="str">
            <v>Incandescent, 150 Watt Reflector Lamp</v>
          </cell>
          <cell r="C151">
            <v>150</v>
          </cell>
          <cell r="D151">
            <v>1710</v>
          </cell>
          <cell r="E151" t="str">
            <v>Ceramic Metal Halide, 1-39 Watt PAR Lamp</v>
          </cell>
          <cell r="F151">
            <v>2000</v>
          </cell>
          <cell r="G151">
            <v>7</v>
          </cell>
          <cell r="H151">
            <v>0.09</v>
          </cell>
        </row>
        <row r="152">
          <cell r="B152" t="str">
            <v>----------------------------</v>
          </cell>
        </row>
        <row r="153">
          <cell r="B153" t="str">
            <v>Incandescent, 1-200 Watt Bulb</v>
          </cell>
          <cell r="C153">
            <v>200</v>
          </cell>
          <cell r="D153">
            <v>3153.5</v>
          </cell>
          <cell r="E153" t="str">
            <v>Screw-In CFL, 42 Watt</v>
          </cell>
          <cell r="F153">
            <v>750</v>
          </cell>
          <cell r="G153">
            <v>4.29</v>
          </cell>
          <cell r="H153">
            <v>0.09</v>
          </cell>
        </row>
        <row r="154">
          <cell r="B154" t="str">
            <v>Incandescent, 1-300 Watt Bulb</v>
          </cell>
          <cell r="C154">
            <v>300</v>
          </cell>
          <cell r="D154">
            <v>4801.5</v>
          </cell>
          <cell r="E154" t="str">
            <v>Screw-In CFL, 85 Watt</v>
          </cell>
          <cell r="F154">
            <v>750</v>
          </cell>
          <cell r="G154">
            <v>4.92</v>
          </cell>
          <cell r="H154">
            <v>0.09</v>
          </cell>
        </row>
        <row r="155">
          <cell r="B155" t="str">
            <v>Incandescent, 1-500 Watt Bulb</v>
          </cell>
          <cell r="C155">
            <v>500</v>
          </cell>
          <cell r="D155">
            <v>8811</v>
          </cell>
          <cell r="E155" t="str">
            <v>T8 High Performance</v>
          </cell>
          <cell r="F155">
            <v>750</v>
          </cell>
          <cell r="G155">
            <v>10.84</v>
          </cell>
          <cell r="H155">
            <v>0.09</v>
          </cell>
        </row>
        <row r="156">
          <cell r="B156" t="str">
            <v>Incandescent, 1-620 Watt Bulb</v>
          </cell>
          <cell r="C156">
            <v>620</v>
          </cell>
          <cell r="D156">
            <v>9350</v>
          </cell>
          <cell r="E156" t="str">
            <v>T8 High Performance</v>
          </cell>
          <cell r="F156">
            <v>750</v>
          </cell>
          <cell r="G156">
            <v>15.36</v>
          </cell>
          <cell r="H156">
            <v>0.09</v>
          </cell>
        </row>
        <row r="157">
          <cell r="B157" t="str">
            <v>=================================</v>
          </cell>
        </row>
        <row r="158">
          <cell r="B158" t="str">
            <v>HALOGEN</v>
          </cell>
        </row>
        <row r="159">
          <cell r="B159" t="str">
            <v>=================================</v>
          </cell>
        </row>
        <row r="160">
          <cell r="B160" t="str">
            <v>MR-16 or MRC-16 Halogen Display Lamps, 20 Watts</v>
          </cell>
          <cell r="C160">
            <v>20</v>
          </cell>
          <cell r="D160">
            <v>240</v>
          </cell>
          <cell r="E160" t="str">
            <v>Screw-in LED</v>
          </cell>
          <cell r="F160" t="str">
            <v>No Default</v>
          </cell>
          <cell r="G160" t="str">
            <v>No Default</v>
          </cell>
          <cell r="H160" t="str">
            <v>No Default</v>
          </cell>
        </row>
        <row r="161">
          <cell r="B161" t="str">
            <v>MR-16 or MRC-16 Halogen Display Lamps, 35 Watts</v>
          </cell>
          <cell r="C161">
            <v>35</v>
          </cell>
          <cell r="D161">
            <v>490</v>
          </cell>
          <cell r="E161" t="str">
            <v>Screw-in LED</v>
          </cell>
          <cell r="F161" t="str">
            <v>No Default</v>
          </cell>
          <cell r="G161" t="str">
            <v>No Default</v>
          </cell>
          <cell r="H161" t="str">
            <v>No Default</v>
          </cell>
        </row>
        <row r="162">
          <cell r="B162" t="str">
            <v>MR-16 or MRC-16 Halogen Display Lamps, 40 Watts</v>
          </cell>
          <cell r="C162">
            <v>40</v>
          </cell>
          <cell r="D162">
            <v>600</v>
          </cell>
          <cell r="E162" t="str">
            <v>Screw-in LED</v>
          </cell>
          <cell r="F162" t="str">
            <v>No Default</v>
          </cell>
          <cell r="G162" t="str">
            <v>No Default</v>
          </cell>
          <cell r="H162" t="str">
            <v>No Default</v>
          </cell>
        </row>
        <row r="163">
          <cell r="B163" t="str">
            <v>MR-16 or MRC-16 Halogen Display Lamps, 50 Watts</v>
          </cell>
          <cell r="C163">
            <v>50</v>
          </cell>
          <cell r="D163">
            <v>790</v>
          </cell>
          <cell r="E163" t="str">
            <v>Screw-in Ceramic Metal Halide (self-ballasted)</v>
          </cell>
          <cell r="F163" t="str">
            <v>No Default</v>
          </cell>
          <cell r="G163" t="str">
            <v>No Default</v>
          </cell>
          <cell r="H163" t="str">
            <v>No Default</v>
          </cell>
        </row>
        <row r="164">
          <cell r="B164" t="str">
            <v>MR-16 or MRC-16 Halogen Display Lamps, 75 Watts</v>
          </cell>
          <cell r="C164">
            <v>75</v>
          </cell>
          <cell r="D164">
            <v>1320</v>
          </cell>
          <cell r="E164" t="str">
            <v>Screw-in Ceramic Metal Halide (self-ballasted)</v>
          </cell>
          <cell r="F164" t="str">
            <v>No Default</v>
          </cell>
          <cell r="G164" t="str">
            <v>No Default</v>
          </cell>
          <cell r="H164" t="str">
            <v>No Default</v>
          </cell>
        </row>
        <row r="165">
          <cell r="B165" t="str">
            <v>----------------------------</v>
          </cell>
        </row>
        <row r="166">
          <cell r="B166" t="str">
            <v>Halogen, 100 Watt</v>
          </cell>
          <cell r="C166">
            <v>100</v>
          </cell>
          <cell r="D166">
            <v>1440</v>
          </cell>
          <cell r="E166" t="str">
            <v>Screw-in Ceramic Metal Halide (self-ballasted)</v>
          </cell>
          <cell r="F166">
            <v>1500</v>
          </cell>
          <cell r="G166">
            <v>5.99</v>
          </cell>
          <cell r="H166">
            <v>0.09</v>
          </cell>
        </row>
        <row r="167">
          <cell r="B167" t="str">
            <v>Halogen, 150 Watt</v>
          </cell>
          <cell r="C167">
            <v>150</v>
          </cell>
          <cell r="D167">
            <v>2160</v>
          </cell>
          <cell r="E167" t="str">
            <v>Ceramic Metal Halide, 1-39 Watt PAR Lamp</v>
          </cell>
          <cell r="F167">
            <v>1500</v>
          </cell>
          <cell r="G167">
            <v>5.99</v>
          </cell>
          <cell r="H167">
            <v>0.09</v>
          </cell>
        </row>
        <row r="168">
          <cell r="B168" t="str">
            <v>Halogen, 250 Watt</v>
          </cell>
          <cell r="C168">
            <v>250</v>
          </cell>
          <cell r="D168">
            <v>3600</v>
          </cell>
          <cell r="E168" t="str">
            <v>Ceramic Metal Halide, 1-70 Watt PAR Lamp</v>
          </cell>
          <cell r="F168">
            <v>1500</v>
          </cell>
          <cell r="G168">
            <v>6.55</v>
          </cell>
          <cell r="H168">
            <v>0.09</v>
          </cell>
        </row>
        <row r="169">
          <cell r="B169" t="str">
            <v>Halogen, 300 Watt</v>
          </cell>
          <cell r="C169">
            <v>300</v>
          </cell>
          <cell r="D169">
            <v>4680</v>
          </cell>
          <cell r="E169" t="str">
            <v>Ceramic Metal Halide, 1-100 Watt PAR Lamp</v>
          </cell>
          <cell r="F169">
            <v>1500</v>
          </cell>
          <cell r="G169">
            <v>7.05</v>
          </cell>
          <cell r="H169">
            <v>0.09</v>
          </cell>
        </row>
        <row r="170">
          <cell r="B170" t="str">
            <v>Halogen, 500 Watt</v>
          </cell>
          <cell r="C170">
            <v>500</v>
          </cell>
          <cell r="D170">
            <v>8550</v>
          </cell>
          <cell r="E170" t="str">
            <v>Ceramic Metal Halide, 1-150 Watt Lamp (single or double end)</v>
          </cell>
          <cell r="F170">
            <v>1500</v>
          </cell>
          <cell r="G170">
            <v>6.98</v>
          </cell>
          <cell r="H170">
            <v>0.09</v>
          </cell>
        </row>
        <row r="171">
          <cell r="B171" t="str">
            <v>Halogen, 750 Watt</v>
          </cell>
          <cell r="C171">
            <v>750</v>
          </cell>
          <cell r="D171">
            <v>13500</v>
          </cell>
          <cell r="E171" t="str">
            <v>Metal Halide Pulse Start, 200 Watt Lamp</v>
          </cell>
          <cell r="F171">
            <v>1500</v>
          </cell>
          <cell r="G171">
            <v>14</v>
          </cell>
          <cell r="H171">
            <v>0.09</v>
          </cell>
        </row>
        <row r="172">
          <cell r="B172" t="str">
            <v>Halogen, 1000 Watt</v>
          </cell>
          <cell r="C172">
            <v>1000</v>
          </cell>
          <cell r="D172">
            <v>18900</v>
          </cell>
          <cell r="E172" t="str">
            <v>Metal Halide Pulse Start, 200 Watt Lamp</v>
          </cell>
          <cell r="F172">
            <v>1500</v>
          </cell>
          <cell r="G172">
            <v>14</v>
          </cell>
          <cell r="H172">
            <v>0.09</v>
          </cell>
        </row>
        <row r="173">
          <cell r="B173" t="str">
            <v>Halogen, 1500 Watt</v>
          </cell>
          <cell r="C173">
            <v>1500</v>
          </cell>
          <cell r="D173">
            <v>29700</v>
          </cell>
          <cell r="E173" t="str">
            <v>Metal Halide Pulse Start, 350 Watt Lamp</v>
          </cell>
          <cell r="F173">
            <v>1500</v>
          </cell>
          <cell r="G173">
            <v>14</v>
          </cell>
          <cell r="H173">
            <v>0.09</v>
          </cell>
        </row>
        <row r="174">
          <cell r="B174" t="str">
            <v>=================================</v>
          </cell>
        </row>
        <row r="175">
          <cell r="B175" t="str">
            <v>HIGH PRESSURE SODIUM</v>
          </cell>
        </row>
        <row r="176">
          <cell r="B176" t="str">
            <v>=================================</v>
          </cell>
        </row>
        <row r="177">
          <cell r="B177" t="str">
            <v>High Pressure Sodium, 35 Watt Lamp</v>
          </cell>
          <cell r="C177">
            <v>45</v>
          </cell>
          <cell r="D177">
            <v>1845</v>
          </cell>
          <cell r="E177" t="str">
            <v>None</v>
          </cell>
          <cell r="F177">
            <v>24000</v>
          </cell>
          <cell r="G177">
            <v>15.72</v>
          </cell>
          <cell r="H177">
            <v>0.4</v>
          </cell>
        </row>
        <row r="178">
          <cell r="B178" t="str">
            <v>High Pressure Sodium, 50 Watt Lamp</v>
          </cell>
          <cell r="C178">
            <v>68</v>
          </cell>
          <cell r="D178">
            <v>3280</v>
          </cell>
          <cell r="E178" t="str">
            <v>None</v>
          </cell>
          <cell r="F178">
            <v>24000</v>
          </cell>
          <cell r="G178">
            <v>15.72</v>
          </cell>
          <cell r="H178">
            <v>0.4</v>
          </cell>
        </row>
        <row r="179">
          <cell r="B179" t="str">
            <v>High Pressure Sodium, 70 Watt Lamp</v>
          </cell>
          <cell r="C179">
            <v>86</v>
          </cell>
          <cell r="D179">
            <v>5166</v>
          </cell>
          <cell r="E179" t="str">
            <v>None</v>
          </cell>
          <cell r="F179">
            <v>24000</v>
          </cell>
          <cell r="G179">
            <v>15.72</v>
          </cell>
          <cell r="H179">
            <v>0.4</v>
          </cell>
        </row>
        <row r="180">
          <cell r="B180" t="str">
            <v>High Pressure Sodium, 100 Watt Lamp</v>
          </cell>
          <cell r="C180">
            <v>120</v>
          </cell>
          <cell r="D180">
            <v>7790</v>
          </cell>
          <cell r="E180" t="str">
            <v>1 Lamp T5 High Output (high bay) New Fixture</v>
          </cell>
          <cell r="F180">
            <v>24000</v>
          </cell>
          <cell r="G180">
            <v>15.72</v>
          </cell>
          <cell r="H180">
            <v>0.4</v>
          </cell>
        </row>
        <row r="181">
          <cell r="B181" t="str">
            <v>High Pressure Sodium, 150 Watt Lamp</v>
          </cell>
          <cell r="C181">
            <v>170</v>
          </cell>
          <cell r="D181">
            <v>13120</v>
          </cell>
          <cell r="E181" t="str">
            <v>1 Lamp T5 High Output (high bay) New Fixture</v>
          </cell>
          <cell r="F181">
            <v>24000</v>
          </cell>
          <cell r="G181">
            <v>15.72</v>
          </cell>
          <cell r="H181">
            <v>0.4</v>
          </cell>
        </row>
        <row r="182">
          <cell r="B182" t="str">
            <v>High Pressure Sodium,  200 Watt Lamp</v>
          </cell>
          <cell r="C182">
            <v>245</v>
          </cell>
          <cell r="D182">
            <v>18040</v>
          </cell>
          <cell r="E182" t="str">
            <v>2 Lamp T5 High Output (high bay) New Fixture</v>
          </cell>
          <cell r="F182">
            <v>24000</v>
          </cell>
          <cell r="G182">
            <v>15.72</v>
          </cell>
          <cell r="H182">
            <v>0.4</v>
          </cell>
        </row>
        <row r="183">
          <cell r="B183" t="str">
            <v>High Pressure Sodium, 250 Watt Lamp</v>
          </cell>
          <cell r="C183">
            <v>295</v>
          </cell>
          <cell r="D183">
            <v>22550</v>
          </cell>
          <cell r="E183" t="str">
            <v>3 Lamp T5 High Output (high bay)  New Fixture with fixture-mounted occupancy sensor (reduce proposed operating hours accordingly)</v>
          </cell>
          <cell r="F183">
            <v>24000</v>
          </cell>
          <cell r="G183">
            <v>15.72</v>
          </cell>
          <cell r="H183">
            <v>0.4</v>
          </cell>
        </row>
        <row r="184">
          <cell r="B184" t="str">
            <v>High Pressure Sodium, 310 Watt Lamp</v>
          </cell>
          <cell r="C184">
            <v>365</v>
          </cell>
          <cell r="D184">
            <v>30340</v>
          </cell>
          <cell r="E184" t="str">
            <v>4 Lamp T5 High Output (high-bay) New Fixture with fixture-mounted occupancy sensor (reduce proposed operating hours accordingly)</v>
          </cell>
          <cell r="F184">
            <v>24000</v>
          </cell>
          <cell r="G184">
            <v>15.72</v>
          </cell>
          <cell r="H184">
            <v>0.4</v>
          </cell>
        </row>
        <row r="185">
          <cell r="B185" t="str">
            <v>High Pressure Sodium, 400 Watt Lamp</v>
          </cell>
          <cell r="C185">
            <v>457</v>
          </cell>
          <cell r="D185">
            <v>41000</v>
          </cell>
          <cell r="E185" t="str">
            <v>6 Lamp T5 High Output (high-bay) New Fixture with fixture-mounted occupancy sensor (reduce proposed operating hours accordingly)</v>
          </cell>
          <cell r="F185">
            <v>24000</v>
          </cell>
          <cell r="G185">
            <v>15.72</v>
          </cell>
          <cell r="H185">
            <v>0.4</v>
          </cell>
        </row>
        <row r="186">
          <cell r="B186" t="str">
            <v>High Pressure Sodium, 1000 Watt Lamp</v>
          </cell>
          <cell r="C186">
            <v>1100</v>
          </cell>
          <cell r="D186">
            <v>114800</v>
          </cell>
          <cell r="E186" t="str">
            <v>12 Lamp T5 High Output (high bay) New Fixture</v>
          </cell>
          <cell r="F186">
            <v>24000</v>
          </cell>
          <cell r="G186">
            <v>47.92</v>
          </cell>
          <cell r="H186">
            <v>0.4</v>
          </cell>
        </row>
        <row r="187">
          <cell r="B187" t="str">
            <v>=================================</v>
          </cell>
        </row>
        <row r="188">
          <cell r="B188" t="str">
            <v>MERCURY VAPOR</v>
          </cell>
        </row>
        <row r="189">
          <cell r="B189" t="str">
            <v>=================================</v>
          </cell>
        </row>
        <row r="190">
          <cell r="B190" t="str">
            <v>Mercury Vapor, 100 Watt Lamp</v>
          </cell>
          <cell r="C190">
            <v>125</v>
          </cell>
          <cell r="D190">
            <v>3400</v>
          </cell>
          <cell r="E190" t="str">
            <v>T8 High Performance</v>
          </cell>
          <cell r="F190">
            <v>24000</v>
          </cell>
          <cell r="G190">
            <v>12.35</v>
          </cell>
          <cell r="H190">
            <v>0.4</v>
          </cell>
        </row>
        <row r="191">
          <cell r="B191" t="str">
            <v>Mercury Vapor, 175 Watt Lamp</v>
          </cell>
          <cell r="C191">
            <v>205</v>
          </cell>
          <cell r="D191">
            <v>7600</v>
          </cell>
          <cell r="E191" t="str">
            <v>T8 High Performance</v>
          </cell>
          <cell r="F191">
            <v>24000</v>
          </cell>
          <cell r="G191">
            <v>12.35</v>
          </cell>
          <cell r="H191">
            <v>0.4</v>
          </cell>
        </row>
        <row r="192">
          <cell r="B192" t="str">
            <v>Mercury Vapor, 250 Watt Lamp</v>
          </cell>
          <cell r="C192">
            <v>285</v>
          </cell>
          <cell r="D192">
            <v>10700</v>
          </cell>
          <cell r="E192" t="str">
            <v>T8 High Performance</v>
          </cell>
          <cell r="F192">
            <v>24000</v>
          </cell>
          <cell r="G192">
            <v>13.85</v>
          </cell>
          <cell r="H192">
            <v>0.4</v>
          </cell>
        </row>
        <row r="193">
          <cell r="B193" t="str">
            <v>Mercury Vapor, 400 Watt Lamp</v>
          </cell>
          <cell r="C193">
            <v>454</v>
          </cell>
          <cell r="D193">
            <v>19100</v>
          </cell>
          <cell r="E193" t="str">
            <v>T8 High Performance</v>
          </cell>
          <cell r="F193">
            <v>24000</v>
          </cell>
          <cell r="G193">
            <v>18.34</v>
          </cell>
          <cell r="H193">
            <v>0.4</v>
          </cell>
        </row>
        <row r="194">
          <cell r="B194" t="str">
            <v>Mercury Vapor, 1000 Watt Lamp</v>
          </cell>
          <cell r="C194">
            <v>1080</v>
          </cell>
          <cell r="D194">
            <v>45000</v>
          </cell>
          <cell r="E194" t="str">
            <v>T8 High Performance</v>
          </cell>
          <cell r="F194">
            <v>24000</v>
          </cell>
          <cell r="G194">
            <v>64.08</v>
          </cell>
          <cell r="H194">
            <v>0.4</v>
          </cell>
        </row>
        <row r="195">
          <cell r="B195" t="str">
            <v>=================================</v>
          </cell>
        </row>
        <row r="196">
          <cell r="B196" t="str">
            <v>ENTER OTHER LAMP/BALLAST COMBINATIONS</v>
          </cell>
        </row>
        <row r="197">
          <cell r="B197" t="str">
            <v>=================================</v>
          </cell>
        </row>
        <row r="198">
          <cell r="E198" t="str">
            <v>Explain in notes field on site audit tab if necessary</v>
          </cell>
        </row>
        <row r="199">
          <cell r="E199" t="str">
            <v>Explain in notes field on site audit tab if necessary</v>
          </cell>
        </row>
        <row r="200">
          <cell r="E200" t="str">
            <v>Explain in notes field on site audit tab if necessary</v>
          </cell>
        </row>
        <row r="201">
          <cell r="E201" t="str">
            <v>Explain in notes field on site audit tab if necessary</v>
          </cell>
        </row>
        <row r="202">
          <cell r="B202" t="str">
            <v>=================================</v>
          </cell>
        </row>
      </sheetData>
      <sheetData sheetId="7">
        <row r="3">
          <cell r="B3" t="str">
            <v xml:space="preserve"> Description of Proposed Lighting Controls</v>
          </cell>
          <cell r="C3" t="str">
            <v>Wattage Controlled</v>
          </cell>
          <cell r="D3" t="str">
            <v>Hours Reduced</v>
          </cell>
        </row>
        <row r="4">
          <cell r="B4" t="str">
            <v>=================================</v>
          </cell>
          <cell r="C4" t="str">
            <v>#</v>
          </cell>
          <cell r="D4" t="str">
            <v>#</v>
          </cell>
        </row>
        <row r="5">
          <cell r="B5" t="str">
            <v>No Changes to Lighting Controls (Default)</v>
          </cell>
          <cell r="C5">
            <v>0</v>
          </cell>
          <cell r="D5">
            <v>0</v>
          </cell>
        </row>
        <row r="6">
          <cell r="B6" t="str">
            <v>=================================</v>
          </cell>
          <cell r="C6" t="str">
            <v>#</v>
          </cell>
          <cell r="D6" t="str">
            <v>#</v>
          </cell>
        </row>
        <row r="7">
          <cell r="B7" t="str">
            <v>Motion Sensor (All Lamps, 20% Hr. Reduction)</v>
          </cell>
          <cell r="C7">
            <v>1</v>
          </cell>
          <cell r="D7">
            <v>0.2</v>
          </cell>
        </row>
        <row r="8">
          <cell r="B8" t="str">
            <v>Motion Sensor (All Lamps, 40% Hr. Reduction)</v>
          </cell>
          <cell r="C8">
            <v>1</v>
          </cell>
          <cell r="D8">
            <v>0.4</v>
          </cell>
        </row>
        <row r="9">
          <cell r="B9" t="str">
            <v>Motion Sensor (All Lamps, 50% Hr. Reduction)</v>
          </cell>
          <cell r="C9">
            <v>1</v>
          </cell>
          <cell r="D9">
            <v>0.5</v>
          </cell>
        </row>
        <row r="10">
          <cell r="B10" t="str">
            <v>Motion Sensor (All Lamps, 60% Hr. Reduction)</v>
          </cell>
          <cell r="C10">
            <v>1</v>
          </cell>
          <cell r="D10">
            <v>0.6</v>
          </cell>
        </row>
        <row r="11">
          <cell r="B11" t="str">
            <v>Motion Sensor (All Lamps, 80% Hr. Reduction)</v>
          </cell>
          <cell r="C11">
            <v>1</v>
          </cell>
          <cell r="D11">
            <v>0.8</v>
          </cell>
        </row>
        <row r="12">
          <cell r="B12" t="str">
            <v>=================================</v>
          </cell>
          <cell r="C12" t="str">
            <v>#</v>
          </cell>
          <cell r="D12" t="str">
            <v>#</v>
          </cell>
        </row>
        <row r="13">
          <cell r="B13" t="str">
            <v>Motion Sensor (2/3 Lamps, 20% Hr. Reduction)</v>
          </cell>
          <cell r="C13">
            <v>0.66</v>
          </cell>
          <cell r="D13">
            <v>0.2</v>
          </cell>
        </row>
        <row r="14">
          <cell r="B14" t="str">
            <v>Motion Sensor (2/3 Lamps, 40% Hr. Reduction)</v>
          </cell>
          <cell r="C14">
            <v>0.66</v>
          </cell>
          <cell r="D14">
            <v>0.4</v>
          </cell>
        </row>
        <row r="15">
          <cell r="B15" t="str">
            <v>Motion Sensor (2/3 Lamps, 50% Hr. Reduction)</v>
          </cell>
          <cell r="C15">
            <v>0.66</v>
          </cell>
          <cell r="D15">
            <v>0.5</v>
          </cell>
        </row>
        <row r="16">
          <cell r="B16" t="str">
            <v>Motion Sensor (2/3 Lamps, 60% Hr. Reduction)</v>
          </cell>
          <cell r="C16">
            <v>0.66</v>
          </cell>
          <cell r="D16">
            <v>0.6</v>
          </cell>
        </row>
        <row r="17">
          <cell r="B17" t="str">
            <v>Motion Sensor (2/3 Lamps, 80% Hr. Reduction)</v>
          </cell>
          <cell r="C17">
            <v>0.66</v>
          </cell>
          <cell r="D17">
            <v>0.8</v>
          </cell>
        </row>
        <row r="18">
          <cell r="B18" t="str">
            <v>=================================</v>
          </cell>
          <cell r="C18" t="str">
            <v>#</v>
          </cell>
          <cell r="D18" t="str">
            <v>#</v>
          </cell>
        </row>
        <row r="19">
          <cell r="B19" t="str">
            <v>Motion Sensor (1/2 Lamps, 20% Hr. Reduction)</v>
          </cell>
          <cell r="C19">
            <v>0.5</v>
          </cell>
          <cell r="D19">
            <v>0.2</v>
          </cell>
        </row>
        <row r="20">
          <cell r="B20" t="str">
            <v>Motion Sensor (1/2 Lamps, 40% Hr. Reduction)</v>
          </cell>
          <cell r="C20">
            <v>0.5</v>
          </cell>
          <cell r="D20">
            <v>0.4</v>
          </cell>
        </row>
        <row r="21">
          <cell r="B21" t="str">
            <v>Motion Sensor (1/2 Lamps, 50% Hr. Reduction)</v>
          </cell>
          <cell r="C21">
            <v>0.5</v>
          </cell>
          <cell r="D21">
            <v>0.5</v>
          </cell>
        </row>
        <row r="22">
          <cell r="B22" t="str">
            <v>Motion Sensor (1/2 Lamps, 60% Hr. Reduction)</v>
          </cell>
          <cell r="C22">
            <v>0.5</v>
          </cell>
          <cell r="D22">
            <v>0.6</v>
          </cell>
        </row>
        <row r="23">
          <cell r="B23" t="str">
            <v>Motion Sensor (1/2 Lamps, 80% Hr. Reduction)</v>
          </cell>
          <cell r="C23">
            <v>0.5</v>
          </cell>
          <cell r="D23">
            <v>0.8</v>
          </cell>
        </row>
        <row r="24">
          <cell r="B24" t="str">
            <v>=================================</v>
          </cell>
          <cell r="C24" t="str">
            <v>#</v>
          </cell>
          <cell r="D24" t="str">
            <v>#</v>
          </cell>
        </row>
        <row r="25">
          <cell r="B25" t="str">
            <v>Daylighting / Photo Sensor Controls</v>
          </cell>
          <cell r="C25" t="str">
            <v>#</v>
          </cell>
          <cell r="D25" t="str">
            <v>#</v>
          </cell>
        </row>
        <row r="26">
          <cell r="B26" t="str">
            <v>=================================</v>
          </cell>
          <cell r="C26" t="str">
            <v>#</v>
          </cell>
          <cell r="D26" t="str">
            <v>#</v>
          </cell>
        </row>
        <row r="27">
          <cell r="B27" t="str">
            <v>Photo Sensor (All Lamps, 20% Hr. Reduction)</v>
          </cell>
          <cell r="C27">
            <v>1</v>
          </cell>
          <cell r="D27">
            <v>0.2</v>
          </cell>
        </row>
        <row r="28">
          <cell r="B28" t="str">
            <v>Photo Sensor (All Lamps, 40% Hr. Reduction)</v>
          </cell>
          <cell r="C28">
            <v>1</v>
          </cell>
          <cell r="D28">
            <v>0.4</v>
          </cell>
        </row>
        <row r="29">
          <cell r="B29" t="str">
            <v>Photo Sensor (All Lamps, 50% Hr. Reduction)</v>
          </cell>
          <cell r="C29">
            <v>1</v>
          </cell>
          <cell r="D29">
            <v>0.5</v>
          </cell>
        </row>
        <row r="30">
          <cell r="B30" t="str">
            <v>Photo Sensor (All Lamps, 60% Hr. Reduction)</v>
          </cell>
          <cell r="C30">
            <v>1</v>
          </cell>
          <cell r="D30">
            <v>0.6</v>
          </cell>
        </row>
        <row r="31">
          <cell r="B31" t="str">
            <v>Photo Sensor (All Lamps, 80% Hr. Reduction)</v>
          </cell>
          <cell r="C31">
            <v>1</v>
          </cell>
          <cell r="D31">
            <v>0.8</v>
          </cell>
        </row>
        <row r="32">
          <cell r="B32" t="str">
            <v>=================================</v>
          </cell>
          <cell r="C32" t="str">
            <v>#</v>
          </cell>
          <cell r="D32" t="str">
            <v>#</v>
          </cell>
        </row>
        <row r="33">
          <cell r="B33" t="str">
            <v>Continuous Daylighting Dimming Controls</v>
          </cell>
          <cell r="C33" t="str">
            <v>#</v>
          </cell>
          <cell r="D33" t="str">
            <v>#</v>
          </cell>
        </row>
        <row r="34">
          <cell r="B34" t="str">
            <v>=================================</v>
          </cell>
          <cell r="C34" t="str">
            <v>#</v>
          </cell>
          <cell r="D34" t="str">
            <v>#</v>
          </cell>
        </row>
        <row r="35">
          <cell r="B35" t="str">
            <v>Daylighting Dimming  (20% Avg. Savings)</v>
          </cell>
          <cell r="C35">
            <v>1</v>
          </cell>
          <cell r="D35">
            <v>0.2</v>
          </cell>
        </row>
        <row r="36">
          <cell r="B36" t="str">
            <v>Daylighting Dimming  (40% Avg. Savings)</v>
          </cell>
          <cell r="C36">
            <v>1</v>
          </cell>
          <cell r="D36">
            <v>0.4</v>
          </cell>
        </row>
        <row r="37">
          <cell r="B37" t="str">
            <v>Daylighting Dimming  (50% Avg. Savings)</v>
          </cell>
          <cell r="C37">
            <v>1</v>
          </cell>
          <cell r="D37">
            <v>0.5</v>
          </cell>
        </row>
        <row r="38">
          <cell r="B38" t="str">
            <v>Daylighting Dimming  (60% Avg. Savings)</v>
          </cell>
          <cell r="C38">
            <v>1</v>
          </cell>
          <cell r="D38">
            <v>0.6</v>
          </cell>
        </row>
        <row r="39">
          <cell r="B39" t="str">
            <v>Daylighting Dimming  (80% Avg. Savings)</v>
          </cell>
          <cell r="C39">
            <v>1</v>
          </cell>
          <cell r="D39">
            <v>0.8</v>
          </cell>
        </row>
        <row r="40">
          <cell r="B40" t="str">
            <v>=================================</v>
          </cell>
          <cell r="C40" t="str">
            <v>#</v>
          </cell>
          <cell r="D40" t="str">
            <v>#</v>
          </cell>
        </row>
        <row r="41">
          <cell r="B41" t="str">
            <v>Install Manual Timer</v>
          </cell>
          <cell r="C41" t="str">
            <v>#</v>
          </cell>
          <cell r="D41" t="str">
            <v>#</v>
          </cell>
        </row>
        <row r="42">
          <cell r="B42" t="str">
            <v>=================================</v>
          </cell>
          <cell r="C42" t="str">
            <v>#</v>
          </cell>
          <cell r="D42" t="str">
            <v>#</v>
          </cell>
        </row>
        <row r="43">
          <cell r="B43" t="str">
            <v>Manual Timer (20% Avg. Savings)</v>
          </cell>
          <cell r="C43">
            <v>1</v>
          </cell>
          <cell r="D43">
            <v>0.2</v>
          </cell>
        </row>
        <row r="44">
          <cell r="B44" t="str">
            <v>Manual Timer (40% Avg. Savings)</v>
          </cell>
          <cell r="C44">
            <v>1</v>
          </cell>
          <cell r="D44">
            <v>0.4</v>
          </cell>
        </row>
        <row r="45">
          <cell r="B45" t="str">
            <v>Manual Timer (50% Avg. Savings)</v>
          </cell>
          <cell r="C45">
            <v>1</v>
          </cell>
          <cell r="D45">
            <v>0.5</v>
          </cell>
        </row>
        <row r="46">
          <cell r="B46" t="str">
            <v>Manual Timer (60% Avg. Savings)</v>
          </cell>
          <cell r="C46">
            <v>1</v>
          </cell>
          <cell r="D46">
            <v>0.6</v>
          </cell>
        </row>
        <row r="47">
          <cell r="B47" t="str">
            <v>Manual Timer (80% Avg. Savings)</v>
          </cell>
          <cell r="C47">
            <v>1</v>
          </cell>
          <cell r="D47">
            <v>0.8</v>
          </cell>
        </row>
        <row r="48">
          <cell r="C48" t="str">
            <v>#</v>
          </cell>
          <cell r="D48" t="str">
            <v>#</v>
          </cell>
        </row>
        <row r="49">
          <cell r="B49" t="str">
            <v>=================================</v>
          </cell>
          <cell r="C49" t="str">
            <v>#</v>
          </cell>
          <cell r="D49" t="str">
            <v>#</v>
          </cell>
        </row>
        <row r="50">
          <cell r="B50" t="str">
            <v>ENTER OTHER LIGHTING CONTROL</v>
          </cell>
          <cell r="C50" t="str">
            <v>#</v>
          </cell>
          <cell r="D50" t="str">
            <v>#</v>
          </cell>
        </row>
        <row r="51">
          <cell r="B51" t="str">
            <v xml:space="preserve">COMBINATIONS ON THE </v>
          </cell>
          <cell r="C51" t="str">
            <v>#</v>
          </cell>
          <cell r="D51" t="str">
            <v>#</v>
          </cell>
        </row>
        <row r="52">
          <cell r="B52" t="str">
            <v>"Proposed Controls" SHEET</v>
          </cell>
          <cell r="C52" t="str">
            <v>#</v>
          </cell>
          <cell r="D52" t="str">
            <v>#</v>
          </cell>
        </row>
        <row r="53">
          <cell r="B53" t="str">
            <v>=================================</v>
          </cell>
          <cell r="C53" t="str">
            <v>#</v>
          </cell>
          <cell r="D53" t="str">
            <v>#</v>
          </cell>
        </row>
        <row r="58">
          <cell r="B58" t="str">
            <v>=================================</v>
          </cell>
        </row>
      </sheetData>
      <sheetData sheetId="8">
        <row r="3">
          <cell r="B3" t="str">
            <v xml:space="preserve">   Description of Proposed Lamp/Ballast Combination</v>
          </cell>
          <cell r="C3" t="str">
            <v>Input Watts</v>
          </cell>
          <cell r="D3" t="str">
            <v>Mean System Lumens</v>
          </cell>
          <cell r="E3" t="str">
            <v>Measure Category</v>
          </cell>
          <cell r="F3" t="str">
            <v>Rebate Amount</v>
          </cell>
          <cell r="G3" t="str">
            <v xml:space="preserve">        Notes / Alternate Suggestions </v>
          </cell>
          <cell r="I3" t="str">
            <v># lamps</v>
          </cell>
          <cell r="J3" t="str">
            <v xml:space="preserve">bf </v>
          </cell>
          <cell r="K3" t="str">
            <v>lumen lamp</v>
          </cell>
          <cell r="L3" t="str">
            <v>lumen maint</v>
          </cell>
          <cell r="M3" t="str">
            <v>ballast type</v>
          </cell>
          <cell r="N3" t="str">
            <v>BEF</v>
          </cell>
          <cell r="O3" t="str">
            <v>LPW</v>
          </cell>
          <cell r="Q3" t="str">
            <v>Rated Average Lamp Life (hrs/lamp for RS ballast @ 12 hrs/start)</v>
          </cell>
          <cell r="R3" t="str">
            <v>Lamp Cost ($/lamp)</v>
          </cell>
          <cell r="S3" t="str">
            <v>Lamp Change Labor (hours/lamp)</v>
          </cell>
        </row>
        <row r="5">
          <cell r="B5" t="str">
            <v>No recommendation (leave fixture as-is)</v>
          </cell>
          <cell r="C5">
            <v>-1</v>
          </cell>
          <cell r="D5">
            <v>-1</v>
          </cell>
          <cell r="E5" t="str">
            <v>N/A</v>
          </cell>
          <cell r="F5">
            <v>0</v>
          </cell>
          <cell r="G5" t="str">
            <v>Leave fixture as-is</v>
          </cell>
        </row>
        <row r="6">
          <cell r="B6" t="str">
            <v>Decommission (Permanently Remove)  Lighting Fixture</v>
          </cell>
          <cell r="C6">
            <v>0</v>
          </cell>
          <cell r="D6">
            <v>0</v>
          </cell>
          <cell r="E6" t="str">
            <v>N/A</v>
          </cell>
          <cell r="F6">
            <v>0</v>
          </cell>
          <cell r="G6" t="str">
            <v>Permanently remove unneeded light fixtures</v>
          </cell>
        </row>
        <row r="7">
          <cell r="B7" t="str">
            <v>=================================</v>
          </cell>
        </row>
        <row r="8">
          <cell r="B8" t="str">
            <v>HIGH PERFORMANCE T8 or NLO T5 LAMP and BALLAST (New Fixture or Retrofit)</v>
          </cell>
        </row>
        <row r="9">
          <cell r="B9" t="str">
            <v>=================================</v>
          </cell>
        </row>
        <row r="10">
          <cell r="B10" t="str">
            <v>32 Watt Lamps</v>
          </cell>
        </row>
        <row r="11">
          <cell r="B11" t="str">
            <v>----------------------------</v>
          </cell>
        </row>
        <row r="12">
          <cell r="B12" t="str">
            <v xml:space="preserve">High Performance T8,  1-4' lamp with Reduced Light Output ballast. </v>
          </cell>
          <cell r="C12">
            <v>25</v>
          </cell>
          <cell r="D12">
            <v>2297.1</v>
          </cell>
          <cell r="E12" t="str">
            <v>A1</v>
          </cell>
          <cell r="F12">
            <v>20</v>
          </cell>
          <cell r="G12" t="str">
            <v>Best Energy Efficient Choice</v>
          </cell>
          <cell r="I12">
            <v>1</v>
          </cell>
          <cell r="J12">
            <v>0.78</v>
          </cell>
          <cell r="K12">
            <v>3100</v>
          </cell>
          <cell r="L12">
            <v>0.95</v>
          </cell>
          <cell r="M12" t="str">
            <v>ISL</v>
          </cell>
          <cell r="N12">
            <v>3.12</v>
          </cell>
          <cell r="O12">
            <v>96.72</v>
          </cell>
          <cell r="Q12">
            <v>30000</v>
          </cell>
          <cell r="R12">
            <v>3.25</v>
          </cell>
          <cell r="S12">
            <v>0.09</v>
          </cell>
        </row>
        <row r="13">
          <cell r="B13" t="str">
            <v xml:space="preserve">High Performance T8,  1-4' lamp with Normal Light Output ballast.  </v>
          </cell>
          <cell r="C13">
            <v>28</v>
          </cell>
          <cell r="D13">
            <v>2591.6</v>
          </cell>
          <cell r="E13" t="str">
            <v>A1</v>
          </cell>
          <cell r="F13">
            <v>20</v>
          </cell>
          <cell r="G13" t="str">
            <v>Typical high performance recommendation</v>
          </cell>
          <cell r="I13">
            <v>1</v>
          </cell>
          <cell r="J13">
            <v>0.88</v>
          </cell>
          <cell r="K13">
            <v>3100</v>
          </cell>
          <cell r="L13">
            <v>0.95</v>
          </cell>
          <cell r="M13" t="str">
            <v>ISN</v>
          </cell>
          <cell r="N13">
            <v>3.1428571428571428</v>
          </cell>
          <cell r="O13">
            <v>97.428571428571431</v>
          </cell>
          <cell r="Q13">
            <v>30000</v>
          </cell>
          <cell r="R13">
            <v>3.25</v>
          </cell>
          <cell r="S13">
            <v>0.09</v>
          </cell>
        </row>
        <row r="14">
          <cell r="B14" t="str">
            <v xml:space="preserve">High Performance T8,  1-4' lamp with High Light Output ballast.  </v>
          </cell>
          <cell r="C14">
            <v>32</v>
          </cell>
          <cell r="D14">
            <v>2945</v>
          </cell>
          <cell r="E14" t="str">
            <v>A1</v>
          </cell>
          <cell r="F14">
            <v>20</v>
          </cell>
          <cell r="G14" t="str">
            <v>Best choice if de-lamping</v>
          </cell>
          <cell r="I14">
            <v>1</v>
          </cell>
          <cell r="J14">
            <v>1</v>
          </cell>
          <cell r="K14">
            <v>3100</v>
          </cell>
          <cell r="L14">
            <v>0.95</v>
          </cell>
          <cell r="M14" t="str">
            <v>PRS</v>
          </cell>
          <cell r="N14">
            <v>3.125</v>
          </cell>
          <cell r="O14">
            <v>96.875</v>
          </cell>
          <cell r="Q14">
            <v>30000</v>
          </cell>
          <cell r="R14">
            <v>3.25</v>
          </cell>
          <cell r="S14">
            <v>0.09</v>
          </cell>
        </row>
        <row r="15">
          <cell r="B15" t="str">
            <v>----------------------------</v>
          </cell>
        </row>
        <row r="16">
          <cell r="B16" t="str">
            <v xml:space="preserve">High Performance T8,  2-4' lamps with Reduced Light Output ballast.  </v>
          </cell>
          <cell r="C16">
            <v>48</v>
          </cell>
          <cell r="D16">
            <v>4594.2</v>
          </cell>
          <cell r="E16" t="str">
            <v>A2</v>
          </cell>
          <cell r="F16">
            <v>40</v>
          </cell>
          <cell r="G16" t="str">
            <v>Best Energy Efficient Choice</v>
          </cell>
          <cell r="I16">
            <v>2</v>
          </cell>
          <cell r="J16">
            <v>0.78</v>
          </cell>
          <cell r="K16">
            <v>3100</v>
          </cell>
          <cell r="L16">
            <v>0.95</v>
          </cell>
          <cell r="M16" t="str">
            <v>ISL</v>
          </cell>
          <cell r="N16">
            <v>1.625</v>
          </cell>
          <cell r="O16">
            <v>100.75</v>
          </cell>
          <cell r="Q16">
            <v>30000</v>
          </cell>
          <cell r="R16">
            <v>3.25</v>
          </cell>
          <cell r="S16">
            <v>0.09</v>
          </cell>
        </row>
        <row r="17">
          <cell r="B17" t="str">
            <v xml:space="preserve">High Performance T8,  2-4' lamps with Normal Light Output ballast.  </v>
          </cell>
          <cell r="C17">
            <v>55</v>
          </cell>
          <cell r="D17">
            <v>5183.2</v>
          </cell>
          <cell r="E17" t="str">
            <v>A2</v>
          </cell>
          <cell r="F17">
            <v>40</v>
          </cell>
          <cell r="G17" t="str">
            <v>Typical recommendation</v>
          </cell>
          <cell r="I17">
            <v>2</v>
          </cell>
          <cell r="J17">
            <v>0.88</v>
          </cell>
          <cell r="K17">
            <v>3100</v>
          </cell>
          <cell r="L17">
            <v>0.95</v>
          </cell>
          <cell r="M17" t="str">
            <v>ISN</v>
          </cell>
          <cell r="N17">
            <v>1.6</v>
          </cell>
          <cell r="O17">
            <v>99.2</v>
          </cell>
          <cell r="Q17">
            <v>30000</v>
          </cell>
          <cell r="R17">
            <v>3.25</v>
          </cell>
          <cell r="S17">
            <v>0.09</v>
          </cell>
        </row>
        <row r="18">
          <cell r="B18" t="str">
            <v>High Performance T8 Stairwell or Parking Lot Light,  2-4' lamps with Normal Light Output ballast and fixture-mounted occupancy sensor (reduce proposed operating hours accordingly)</v>
          </cell>
          <cell r="C18">
            <v>60</v>
          </cell>
          <cell r="D18">
            <v>5183.2</v>
          </cell>
          <cell r="E18" t="str">
            <v>A2/J1</v>
          </cell>
          <cell r="F18">
            <v>75</v>
          </cell>
          <cell r="G18" t="str">
            <v>Stairwell or parking garage new fixture  (includes a light that is on 24/7)</v>
          </cell>
          <cell r="I18">
            <v>2</v>
          </cell>
          <cell r="J18">
            <v>0.88</v>
          </cell>
          <cell r="K18">
            <v>3100</v>
          </cell>
          <cell r="L18">
            <v>0.95</v>
          </cell>
          <cell r="M18" t="str">
            <v>ISN</v>
          </cell>
          <cell r="N18">
            <v>1.4666666666666666</v>
          </cell>
          <cell r="O18">
            <v>90.933333333333337</v>
          </cell>
          <cell r="Q18">
            <v>30000</v>
          </cell>
          <cell r="R18">
            <v>3.25</v>
          </cell>
          <cell r="S18">
            <v>0.09</v>
          </cell>
        </row>
        <row r="19">
          <cell r="B19" t="str">
            <v xml:space="preserve">High Performance T8,  2-4' lamps with High Light Output ballast.  </v>
          </cell>
          <cell r="C19">
            <v>74</v>
          </cell>
          <cell r="D19">
            <v>6773.4999999999991</v>
          </cell>
          <cell r="E19" t="str">
            <v>A2</v>
          </cell>
          <cell r="F19">
            <v>40</v>
          </cell>
          <cell r="G19" t="str">
            <v>Best choice if de-lamping</v>
          </cell>
          <cell r="I19">
            <v>2</v>
          </cell>
          <cell r="J19">
            <v>1.1499999999999999</v>
          </cell>
          <cell r="K19">
            <v>3100</v>
          </cell>
          <cell r="L19">
            <v>0.95</v>
          </cell>
          <cell r="M19" t="str">
            <v>ISH</v>
          </cell>
          <cell r="N19">
            <v>1.5540540540540539</v>
          </cell>
          <cell r="O19">
            <v>96.35135135135134</v>
          </cell>
          <cell r="Q19">
            <v>30000</v>
          </cell>
          <cell r="R19">
            <v>3.25</v>
          </cell>
          <cell r="S19">
            <v>0.09</v>
          </cell>
        </row>
        <row r="20">
          <cell r="B20" t="str">
            <v>----------------------------</v>
          </cell>
        </row>
        <row r="21">
          <cell r="B21" t="str">
            <v>High Performance T8,  2-8' 54 Watt lamps with Normal Light Output ballast, 96 Watt typical, System efficacy &gt;95 lumens per Watt</v>
          </cell>
          <cell r="C21">
            <v>96</v>
          </cell>
          <cell r="D21">
            <v>9587.4</v>
          </cell>
          <cell r="E21" t="str">
            <v>A2</v>
          </cell>
          <cell r="F21">
            <v>40</v>
          </cell>
          <cell r="G21" t="str">
            <v>Various lamp ballast combinations are available, typical 96 watt ballast</v>
          </cell>
          <cell r="I21">
            <v>2</v>
          </cell>
          <cell r="J21">
            <v>0.87</v>
          </cell>
          <cell r="K21">
            <v>5800</v>
          </cell>
          <cell r="L21">
            <v>0.95</v>
          </cell>
          <cell r="M21" t="str">
            <v>ISN</v>
          </cell>
          <cell r="N21">
            <v>0.90625</v>
          </cell>
          <cell r="O21">
            <v>105.125</v>
          </cell>
          <cell r="Q21">
            <v>24000</v>
          </cell>
          <cell r="R21">
            <v>8.99</v>
          </cell>
          <cell r="S21">
            <v>0.09</v>
          </cell>
        </row>
        <row r="22">
          <cell r="B22" t="str">
            <v>High Performance T8,  2-8' lamps with Normal Light Output ballast, 110 Watt Max, System efficacy &gt;95 lumens per Watt</v>
          </cell>
          <cell r="C22">
            <v>110</v>
          </cell>
          <cell r="D22">
            <v>10199.199999999999</v>
          </cell>
          <cell r="E22" t="str">
            <v>A2</v>
          </cell>
          <cell r="F22">
            <v>40</v>
          </cell>
          <cell r="G22" t="str">
            <v>Various lamp ballast combinations are available, typical 110 watt ballast</v>
          </cell>
          <cell r="I22">
            <v>2</v>
          </cell>
          <cell r="J22">
            <v>0.88</v>
          </cell>
          <cell r="K22">
            <v>6100</v>
          </cell>
          <cell r="L22">
            <v>0.95</v>
          </cell>
          <cell r="M22" t="str">
            <v>ISN</v>
          </cell>
          <cell r="N22">
            <v>0.8</v>
          </cell>
          <cell r="O22">
            <v>97.6</v>
          </cell>
          <cell r="Q22">
            <v>24000</v>
          </cell>
          <cell r="R22">
            <v>8.99</v>
          </cell>
          <cell r="S22">
            <v>0.09</v>
          </cell>
        </row>
        <row r="23">
          <cell r="B23" t="str">
            <v>----------------------------</v>
          </cell>
        </row>
        <row r="24">
          <cell r="B24" t="str">
            <v xml:space="preserve">High Performance T8,  3-4' lamps with Reduced Light Output ballast.  </v>
          </cell>
          <cell r="C24">
            <v>72</v>
          </cell>
          <cell r="D24">
            <v>6802.95</v>
          </cell>
          <cell r="E24" t="str">
            <v>A2</v>
          </cell>
          <cell r="F24">
            <v>40</v>
          </cell>
          <cell r="G24" t="str">
            <v>Best Energy Efficient Choice</v>
          </cell>
          <cell r="I24">
            <v>3</v>
          </cell>
          <cell r="J24">
            <v>0.77</v>
          </cell>
          <cell r="K24">
            <v>3100</v>
          </cell>
          <cell r="L24">
            <v>0.95</v>
          </cell>
          <cell r="M24" t="str">
            <v>ISL</v>
          </cell>
          <cell r="N24">
            <v>1.0694444444444444</v>
          </cell>
          <cell r="O24">
            <v>99.458333333333329</v>
          </cell>
          <cell r="Q24">
            <v>30000</v>
          </cell>
          <cell r="R24">
            <v>3.25</v>
          </cell>
          <cell r="S24">
            <v>0.09</v>
          </cell>
        </row>
        <row r="25">
          <cell r="B25" t="str">
            <v xml:space="preserve">High Performance T8,  3-4' lamps with Normal Light Output ballast.  </v>
          </cell>
          <cell r="C25">
            <v>81</v>
          </cell>
          <cell r="D25">
            <v>7686.45</v>
          </cell>
          <cell r="E25" t="str">
            <v>A2</v>
          </cell>
          <cell r="F25">
            <v>40</v>
          </cell>
          <cell r="G25" t="str">
            <v>Typical recommendation</v>
          </cell>
          <cell r="I25">
            <v>3</v>
          </cell>
          <cell r="J25">
            <v>0.87</v>
          </cell>
          <cell r="K25">
            <v>3100</v>
          </cell>
          <cell r="L25">
            <v>0.95</v>
          </cell>
          <cell r="M25" t="str">
            <v>ISN</v>
          </cell>
          <cell r="N25">
            <v>1.0740740740740742</v>
          </cell>
          <cell r="O25">
            <v>99.888888888888886</v>
          </cell>
          <cell r="Q25">
            <v>30000</v>
          </cell>
          <cell r="R25">
            <v>3.25</v>
          </cell>
          <cell r="S25">
            <v>0.09</v>
          </cell>
        </row>
        <row r="26">
          <cell r="B26" t="str">
            <v xml:space="preserve">High Performance T8,  3-4' lamps with High Light Output ballast.  </v>
          </cell>
          <cell r="C26">
            <v>110</v>
          </cell>
          <cell r="D26">
            <v>10160.25</v>
          </cell>
          <cell r="E26" t="str">
            <v>A2</v>
          </cell>
          <cell r="F26">
            <v>40</v>
          </cell>
          <cell r="G26" t="str">
            <v>Best choice if de-lamping</v>
          </cell>
          <cell r="I26">
            <v>3</v>
          </cell>
          <cell r="J26">
            <v>1.1499999999999999</v>
          </cell>
          <cell r="K26">
            <v>3100</v>
          </cell>
          <cell r="L26">
            <v>0.95</v>
          </cell>
          <cell r="M26" t="str">
            <v>ISH</v>
          </cell>
          <cell r="N26">
            <v>1.0454545454545454</v>
          </cell>
          <cell r="O26">
            <v>97.227272727272734</v>
          </cell>
          <cell r="Q26">
            <v>30000</v>
          </cell>
          <cell r="R26">
            <v>3.25</v>
          </cell>
          <cell r="S26">
            <v>0.09</v>
          </cell>
        </row>
        <row r="27">
          <cell r="B27" t="str">
            <v>----------------------------</v>
          </cell>
        </row>
        <row r="28">
          <cell r="B28" t="str">
            <v xml:space="preserve">High Performance T8,  4-4' lamps with Reduced Light Output ballast.  </v>
          </cell>
          <cell r="C28">
            <v>95</v>
          </cell>
          <cell r="D28">
            <v>9070.6</v>
          </cell>
          <cell r="E28" t="str">
            <v>A2</v>
          </cell>
          <cell r="F28">
            <v>40</v>
          </cell>
          <cell r="G28" t="str">
            <v>Best Energy Efficient Choice</v>
          </cell>
          <cell r="I28">
            <v>4</v>
          </cell>
          <cell r="J28">
            <v>0.77</v>
          </cell>
          <cell r="K28">
            <v>3100</v>
          </cell>
          <cell r="L28">
            <v>0.95</v>
          </cell>
          <cell r="M28" t="str">
            <v>ISL</v>
          </cell>
          <cell r="N28">
            <v>0.81052631578947365</v>
          </cell>
          <cell r="O28">
            <v>100.50526315789473</v>
          </cell>
          <cell r="Q28">
            <v>30000</v>
          </cell>
          <cell r="R28">
            <v>3.25</v>
          </cell>
          <cell r="S28">
            <v>0.09</v>
          </cell>
        </row>
        <row r="29">
          <cell r="B29" t="str">
            <v xml:space="preserve">High Performance T8,  4-4' lamps with Normal Light Output ballast.  </v>
          </cell>
          <cell r="C29">
            <v>108</v>
          </cell>
          <cell r="D29">
            <v>10248.6</v>
          </cell>
          <cell r="E29" t="str">
            <v>A2</v>
          </cell>
          <cell r="F29">
            <v>40</v>
          </cell>
          <cell r="G29" t="str">
            <v>Typical recommendation</v>
          </cell>
          <cell r="I29">
            <v>4</v>
          </cell>
          <cell r="J29">
            <v>0.87</v>
          </cell>
          <cell r="K29">
            <v>3100</v>
          </cell>
          <cell r="L29">
            <v>0.95</v>
          </cell>
          <cell r="M29" t="str">
            <v>ISN</v>
          </cell>
          <cell r="N29">
            <v>0.80555555555555558</v>
          </cell>
          <cell r="O29">
            <v>99.888888888888886</v>
          </cell>
          <cell r="Q29">
            <v>30000</v>
          </cell>
          <cell r="R29">
            <v>3.25</v>
          </cell>
          <cell r="S29">
            <v>0.09</v>
          </cell>
        </row>
        <row r="30">
          <cell r="B30" t="str">
            <v xml:space="preserve">High Performance T8,  4-4' lamps with High Light Output ballast.  </v>
          </cell>
          <cell r="C30">
            <v>148</v>
          </cell>
          <cell r="D30">
            <v>13546.999999999998</v>
          </cell>
          <cell r="E30" t="str">
            <v>A2</v>
          </cell>
          <cell r="F30">
            <v>40</v>
          </cell>
          <cell r="G30" t="str">
            <v>High-Bay applications</v>
          </cell>
          <cell r="I30">
            <v>4</v>
          </cell>
          <cell r="J30">
            <v>1.1499999999999999</v>
          </cell>
          <cell r="K30">
            <v>3100</v>
          </cell>
          <cell r="L30">
            <v>0.95</v>
          </cell>
          <cell r="M30" t="str">
            <v>ISH</v>
          </cell>
          <cell r="N30">
            <v>0.77702702702702697</v>
          </cell>
          <cell r="O30">
            <v>96.35135135135134</v>
          </cell>
          <cell r="Q30">
            <v>30000</v>
          </cell>
          <cell r="R30">
            <v>3.25</v>
          </cell>
          <cell r="S30">
            <v>0.09</v>
          </cell>
        </row>
        <row r="31">
          <cell r="B31" t="str">
            <v>----------------------------</v>
          </cell>
        </row>
        <row r="32">
          <cell r="B32" t="str">
            <v>25 Watt Lamps</v>
          </cell>
        </row>
        <row r="33">
          <cell r="B33" t="str">
            <v>----------------------------</v>
          </cell>
        </row>
        <row r="34">
          <cell r="B34" t="str">
            <v xml:space="preserve">High Performance T8,  2-4' 25 Watt lamps with Reduced Light Output ballast.  </v>
          </cell>
          <cell r="C34">
            <v>38</v>
          </cell>
          <cell r="D34">
            <v>3474.24</v>
          </cell>
          <cell r="E34" t="str">
            <v>A2</v>
          </cell>
          <cell r="F34">
            <v>40</v>
          </cell>
          <cell r="G34" t="str">
            <v>Best Energy Efficient Choice</v>
          </cell>
          <cell r="I34">
            <v>2</v>
          </cell>
          <cell r="J34">
            <v>0.77</v>
          </cell>
          <cell r="K34">
            <v>2400</v>
          </cell>
          <cell r="L34">
            <v>0.94</v>
          </cell>
          <cell r="M34" t="str">
            <v>ISL</v>
          </cell>
          <cell r="N34">
            <v>2.0263157894736841</v>
          </cell>
          <cell r="O34">
            <v>97.263157894736835</v>
          </cell>
          <cell r="Q34">
            <v>30000</v>
          </cell>
          <cell r="R34">
            <v>3.25</v>
          </cell>
          <cell r="S34">
            <v>0.09</v>
          </cell>
        </row>
        <row r="35">
          <cell r="B35" t="str">
            <v xml:space="preserve">High Performance T8,  3-4' 25 Watt lamps with Reduced Light Output ballast.  </v>
          </cell>
          <cell r="C35">
            <v>58</v>
          </cell>
          <cell r="D35">
            <v>5211.3599999999997</v>
          </cell>
          <cell r="E35" t="str">
            <v>A2</v>
          </cell>
          <cell r="F35">
            <v>40</v>
          </cell>
          <cell r="G35" t="str">
            <v>Best recommendation if de-lamping is not an option (i.e. deep cell parabolic fixtures)</v>
          </cell>
          <cell r="I35">
            <v>3</v>
          </cell>
          <cell r="J35">
            <v>0.77</v>
          </cell>
          <cell r="K35">
            <v>2400</v>
          </cell>
          <cell r="L35">
            <v>0.94</v>
          </cell>
          <cell r="M35" t="str">
            <v>ISL</v>
          </cell>
          <cell r="N35">
            <v>1.3275862068965518</v>
          </cell>
          <cell r="O35">
            <v>95.58620689655173</v>
          </cell>
          <cell r="Q35">
            <v>30000</v>
          </cell>
          <cell r="R35">
            <v>3.25</v>
          </cell>
          <cell r="S35">
            <v>0.09</v>
          </cell>
        </row>
        <row r="36">
          <cell r="B36" t="str">
            <v xml:space="preserve">High Performance T8,  4-4' 25 Watt lamps with Reduced Light Output ballast.  </v>
          </cell>
          <cell r="C36">
            <v>77</v>
          </cell>
          <cell r="D36">
            <v>6948.48</v>
          </cell>
          <cell r="E36" t="str">
            <v>A2</v>
          </cell>
          <cell r="F36">
            <v>40</v>
          </cell>
          <cell r="G36" t="str">
            <v>Best recommendation if de-lamping is not an option (i.e. deep cell parabolic fixtures)</v>
          </cell>
          <cell r="I36">
            <v>4</v>
          </cell>
          <cell r="J36">
            <v>0.77</v>
          </cell>
          <cell r="K36">
            <v>2400</v>
          </cell>
          <cell r="L36">
            <v>0.94</v>
          </cell>
          <cell r="M36" t="str">
            <v>ISL</v>
          </cell>
          <cell r="N36">
            <v>1</v>
          </cell>
          <cell r="O36">
            <v>96</v>
          </cell>
          <cell r="Q36">
            <v>30000</v>
          </cell>
          <cell r="R36">
            <v>3.25</v>
          </cell>
          <cell r="S36">
            <v>0.09</v>
          </cell>
        </row>
        <row r="37">
          <cell r="B37" t="str">
            <v>----------------------------</v>
          </cell>
        </row>
        <row r="38">
          <cell r="B38" t="str">
            <v>T5 Normal Light Output Lamps</v>
          </cell>
        </row>
        <row r="39">
          <cell r="B39" t="str">
            <v>----------------------------</v>
          </cell>
        </row>
        <row r="40">
          <cell r="B40" t="str">
            <v>New High Performance NLO T5, 2-4'  lamps with Normal Light Output ballast (New Fixture or Retrofit)</v>
          </cell>
          <cell r="C40">
            <v>58</v>
          </cell>
          <cell r="D40">
            <v>5234.5</v>
          </cell>
          <cell r="E40" t="str">
            <v>A2</v>
          </cell>
          <cell r="F40">
            <v>40</v>
          </cell>
          <cell r="G40" t="str">
            <v>RT5 or equivalent new fixture</v>
          </cell>
          <cell r="I40">
            <v>2</v>
          </cell>
          <cell r="J40">
            <v>0.95</v>
          </cell>
          <cell r="K40">
            <v>2900</v>
          </cell>
          <cell r="L40">
            <v>0.95</v>
          </cell>
          <cell r="M40" t="str">
            <v>ISN</v>
          </cell>
          <cell r="N40">
            <v>1.6379310344827587</v>
          </cell>
          <cell r="O40">
            <v>95</v>
          </cell>
          <cell r="Q40">
            <v>24000</v>
          </cell>
          <cell r="R40">
            <v>6</v>
          </cell>
          <cell r="S40">
            <v>0.09</v>
          </cell>
        </row>
        <row r="41">
          <cell r="B41" t="str">
            <v>=================================</v>
          </cell>
        </row>
        <row r="42">
          <cell r="B42" t="str">
            <v>RETROFIT HO/VHO T12 FIXTURES to T8 LAMPS &amp; BALLASTS</v>
          </cell>
        </row>
        <row r="43">
          <cell r="B43" t="str">
            <v>=================================</v>
          </cell>
        </row>
        <row r="44">
          <cell r="B44" t="str">
            <v>4 Lamp T8 4' with Normal Light Output ballast (Upgrade from T12 HO/VHO)</v>
          </cell>
          <cell r="C44">
            <v>108</v>
          </cell>
          <cell r="D44">
            <v>13665</v>
          </cell>
          <cell r="E44" t="str">
            <v>K2</v>
          </cell>
          <cell r="F44">
            <v>80</v>
          </cell>
          <cell r="G44" t="str">
            <v>Use 2-2 lamp HLO ballasts only if absolutely necessary</v>
          </cell>
          <cell r="I44">
            <v>4</v>
          </cell>
          <cell r="J44">
            <v>0.87</v>
          </cell>
          <cell r="K44">
            <v>3100</v>
          </cell>
          <cell r="L44">
            <v>0.95</v>
          </cell>
          <cell r="M44" t="str">
            <v>ISH</v>
          </cell>
          <cell r="N44">
            <v>0.80555555555555558</v>
          </cell>
          <cell r="O44">
            <v>99.888888888888886</v>
          </cell>
          <cell r="Q44">
            <v>30000</v>
          </cell>
          <cell r="R44">
            <v>3.25</v>
          </cell>
          <cell r="S44">
            <v>0.09</v>
          </cell>
        </row>
        <row r="45">
          <cell r="B45" t="str">
            <v>4 Lamp T8 4' with High Light Output ballast (Upgrade from T12 HO/VHO)</v>
          </cell>
          <cell r="C45">
            <v>148</v>
          </cell>
          <cell r="D45">
            <v>13546.999999999998</v>
          </cell>
          <cell r="E45" t="str">
            <v>K2</v>
          </cell>
          <cell r="F45">
            <v>80</v>
          </cell>
          <cell r="G45" t="str">
            <v>Use 2-2 lamp HLO ballasts only if absolutely necessary</v>
          </cell>
          <cell r="I45">
            <v>4</v>
          </cell>
          <cell r="J45">
            <v>1.1499999999999999</v>
          </cell>
          <cell r="K45">
            <v>3100</v>
          </cell>
          <cell r="L45">
            <v>0.95</v>
          </cell>
          <cell r="M45" t="str">
            <v>ISH</v>
          </cell>
          <cell r="N45">
            <v>0.77702702702702697</v>
          </cell>
          <cell r="O45">
            <v>96.35135135135134</v>
          </cell>
          <cell r="Q45">
            <v>30000</v>
          </cell>
          <cell r="R45">
            <v>3.25</v>
          </cell>
          <cell r="S45">
            <v>0.09</v>
          </cell>
        </row>
        <row r="46">
          <cell r="B46" t="str">
            <v>6 Lamp T8 4' with Reduced Light Output ballast (Upgrade from 8' T12)</v>
          </cell>
          <cell r="C46">
            <v>143</v>
          </cell>
          <cell r="D46">
            <v>15372.9</v>
          </cell>
          <cell r="E46" t="str">
            <v>K2</v>
          </cell>
          <cell r="F46">
            <v>80</v>
          </cell>
          <cell r="G46" t="str">
            <v>Use 2-2 lamp HLO ballasts only if absolutely necessary</v>
          </cell>
          <cell r="I46">
            <v>6</v>
          </cell>
          <cell r="J46">
            <v>0.87</v>
          </cell>
          <cell r="K46">
            <v>3100</v>
          </cell>
          <cell r="L46">
            <v>0.95</v>
          </cell>
          <cell r="M46" t="str">
            <v>ISH</v>
          </cell>
          <cell r="N46">
            <v>0.60839160839160844</v>
          </cell>
          <cell r="O46">
            <v>113.16083916083916</v>
          </cell>
          <cell r="Q46">
            <v>30000</v>
          </cell>
          <cell r="R46">
            <v>3.25</v>
          </cell>
          <cell r="S46">
            <v>0.09</v>
          </cell>
        </row>
        <row r="47">
          <cell r="B47" t="str">
            <v>6 Lamp T8 4' with Normal Light Output ballast (Upgrade from T12 HO/VHO)</v>
          </cell>
          <cell r="C47">
            <v>162</v>
          </cell>
          <cell r="D47">
            <v>15372.9</v>
          </cell>
          <cell r="E47" t="str">
            <v>K2</v>
          </cell>
          <cell r="F47">
            <v>80</v>
          </cell>
          <cell r="G47" t="str">
            <v>Use 2-2 lamp HLO ballasts only if absolutely necessary</v>
          </cell>
          <cell r="I47">
            <v>6</v>
          </cell>
          <cell r="J47">
            <v>0.87</v>
          </cell>
          <cell r="K47">
            <v>3100</v>
          </cell>
          <cell r="L47">
            <v>0.95</v>
          </cell>
          <cell r="M47" t="str">
            <v>ISH</v>
          </cell>
          <cell r="N47">
            <v>0.53703703703703709</v>
          </cell>
          <cell r="O47">
            <v>99.888888888888886</v>
          </cell>
          <cell r="Q47">
            <v>30000</v>
          </cell>
          <cell r="R47">
            <v>3.25</v>
          </cell>
          <cell r="S47">
            <v>0.09</v>
          </cell>
        </row>
        <row r="48">
          <cell r="B48" t="str">
            <v>6 Lamp T8 4' with High Light Output ballast (Upgrade from T12 HO/VHO)</v>
          </cell>
          <cell r="C48">
            <v>222</v>
          </cell>
          <cell r="D48">
            <v>21027.3</v>
          </cell>
          <cell r="E48" t="str">
            <v>K2</v>
          </cell>
          <cell r="F48">
            <v>80</v>
          </cell>
          <cell r="G48" t="str">
            <v xml:space="preserve">Use 2-4 lamp HLO ballasts only if absolutely necessary </v>
          </cell>
          <cell r="I48">
            <v>6</v>
          </cell>
          <cell r="J48">
            <v>1.19</v>
          </cell>
          <cell r="K48">
            <v>3100</v>
          </cell>
          <cell r="L48">
            <v>0.95</v>
          </cell>
          <cell r="M48" t="str">
            <v>ISH</v>
          </cell>
          <cell r="N48">
            <v>0.536036036036036</v>
          </cell>
          <cell r="O48">
            <v>99.702702702702709</v>
          </cell>
          <cell r="Q48">
            <v>30000</v>
          </cell>
          <cell r="R48">
            <v>3.25</v>
          </cell>
          <cell r="S48">
            <v>0.09</v>
          </cell>
        </row>
        <row r="49">
          <cell r="B49" t="str">
            <v>8 Lamp T8 4' with Normal Light Output ballast (Upgrade from T12 HO/VHO)</v>
          </cell>
          <cell r="C49">
            <v>216</v>
          </cell>
          <cell r="D49">
            <v>20497.2</v>
          </cell>
          <cell r="E49" t="str">
            <v>K2</v>
          </cell>
          <cell r="F49">
            <v>80</v>
          </cell>
          <cell r="G49" t="str">
            <v>Use 2-2 lamp HLO ballasts only if absolutely necessary</v>
          </cell>
          <cell r="I49">
            <v>8</v>
          </cell>
          <cell r="J49">
            <v>0.87</v>
          </cell>
          <cell r="K49">
            <v>3100</v>
          </cell>
          <cell r="L49">
            <v>0.95</v>
          </cell>
          <cell r="M49" t="str">
            <v>ISH</v>
          </cell>
          <cell r="N49">
            <v>0.40277777777777779</v>
          </cell>
          <cell r="O49">
            <v>99.888888888888886</v>
          </cell>
          <cell r="Q49">
            <v>30000</v>
          </cell>
          <cell r="R49">
            <v>3.25</v>
          </cell>
          <cell r="S49">
            <v>0.09</v>
          </cell>
        </row>
        <row r="50">
          <cell r="B50" t="str">
            <v>8 Lamp T8 4' with High Light Output ballast (Upgrade from T12 HO/VHO)</v>
          </cell>
          <cell r="C50">
            <v>296</v>
          </cell>
          <cell r="D50">
            <v>27093.999999999996</v>
          </cell>
          <cell r="E50" t="str">
            <v>K2</v>
          </cell>
          <cell r="F50">
            <v>80</v>
          </cell>
          <cell r="G50" t="str">
            <v>Use 2-2 lamp HLO ballasts only if absolutely necessary</v>
          </cell>
          <cell r="I50">
            <v>8</v>
          </cell>
          <cell r="J50">
            <v>1.1499999999999999</v>
          </cell>
          <cell r="K50">
            <v>3100</v>
          </cell>
          <cell r="L50">
            <v>0.95</v>
          </cell>
          <cell r="M50" t="str">
            <v>ISH</v>
          </cell>
          <cell r="N50">
            <v>0.38851351351351349</v>
          </cell>
          <cell r="O50">
            <v>96.35135135135134</v>
          </cell>
          <cell r="Q50">
            <v>30000</v>
          </cell>
          <cell r="R50">
            <v>3.25</v>
          </cell>
          <cell r="S50">
            <v>0.09</v>
          </cell>
        </row>
        <row r="51">
          <cell r="B51" t="str">
            <v>=================================</v>
          </cell>
        </row>
        <row r="52">
          <cell r="B52" t="str">
            <v>HIGH OUTPUT (high-bay) FLUORESCENT  (Install New Fixture)</v>
          </cell>
        </row>
        <row r="53">
          <cell r="B53" t="str">
            <v>=================================</v>
          </cell>
        </row>
        <row r="54">
          <cell r="B54" t="str">
            <v>High Output T5 New Fixtures</v>
          </cell>
        </row>
        <row r="55">
          <cell r="B55" t="str">
            <v>----------------------------</v>
          </cell>
        </row>
        <row r="56">
          <cell r="B56" t="str">
            <v>1 Lamp T5 High Output (high bay) New Fixture</v>
          </cell>
          <cell r="C56">
            <v>62</v>
          </cell>
          <cell r="D56">
            <v>4750</v>
          </cell>
          <cell r="E56" t="str">
            <v>H1</v>
          </cell>
          <cell r="F56">
            <v>120</v>
          </cell>
          <cell r="I56">
            <v>1</v>
          </cell>
          <cell r="J56">
            <v>1</v>
          </cell>
          <cell r="K56">
            <v>5000</v>
          </cell>
          <cell r="L56">
            <v>0.95</v>
          </cell>
          <cell r="M56" t="str">
            <v>PRS</v>
          </cell>
          <cell r="N56">
            <v>1.6129032258064515</v>
          </cell>
          <cell r="O56">
            <v>80.645161290322577</v>
          </cell>
          <cell r="Q56">
            <v>20000</v>
          </cell>
          <cell r="R56">
            <v>6</v>
          </cell>
          <cell r="S56">
            <v>0.09</v>
          </cell>
        </row>
        <row r="57">
          <cell r="B57" t="str">
            <v>2 Lamp T5 High Output (high bay) New Fixture</v>
          </cell>
          <cell r="C57">
            <v>118</v>
          </cell>
          <cell r="D57">
            <v>9500</v>
          </cell>
          <cell r="E57" t="str">
            <v>H1</v>
          </cell>
          <cell r="F57">
            <v>120</v>
          </cell>
          <cell r="I57">
            <v>2</v>
          </cell>
          <cell r="J57">
            <v>1</v>
          </cell>
          <cell r="K57">
            <v>5000</v>
          </cell>
          <cell r="L57">
            <v>0.95</v>
          </cell>
          <cell r="M57" t="str">
            <v>PRS</v>
          </cell>
          <cell r="N57">
            <v>0.84745762711864403</v>
          </cell>
          <cell r="O57">
            <v>84.745762711864401</v>
          </cell>
          <cell r="Q57">
            <v>20000</v>
          </cell>
          <cell r="R57">
            <v>6</v>
          </cell>
          <cell r="S57">
            <v>0.09</v>
          </cell>
        </row>
        <row r="58">
          <cell r="B58" t="str">
            <v>2 Lamp T5 High Output (high bay) New Fixture with fixture-mounted occupancy sensor (reduce proposed operating hours accordingly)</v>
          </cell>
          <cell r="C58">
            <v>118</v>
          </cell>
          <cell r="D58">
            <v>9500</v>
          </cell>
          <cell r="E58" t="str">
            <v>H1/J1</v>
          </cell>
          <cell r="F58">
            <v>155</v>
          </cell>
          <cell r="I58">
            <v>2</v>
          </cell>
          <cell r="J58">
            <v>1</v>
          </cell>
          <cell r="K58">
            <v>5000</v>
          </cell>
          <cell r="L58">
            <v>0.95</v>
          </cell>
          <cell r="M58" t="str">
            <v>PRS</v>
          </cell>
          <cell r="N58">
            <v>0.84745762711864403</v>
          </cell>
          <cell r="O58">
            <v>84.745762711864401</v>
          </cell>
          <cell r="Q58">
            <v>20000</v>
          </cell>
          <cell r="R58">
            <v>6</v>
          </cell>
          <cell r="S58">
            <v>0.09</v>
          </cell>
        </row>
        <row r="59">
          <cell r="B59" t="str">
            <v>3 Lamp T5 High Output (high bay) New Fixture</v>
          </cell>
          <cell r="C59">
            <v>179</v>
          </cell>
          <cell r="D59">
            <v>14250</v>
          </cell>
          <cell r="E59" t="str">
            <v>H2</v>
          </cell>
          <cell r="F59">
            <v>140</v>
          </cell>
          <cell r="I59">
            <v>3</v>
          </cell>
          <cell r="J59">
            <v>1</v>
          </cell>
          <cell r="K59">
            <v>5000</v>
          </cell>
          <cell r="L59">
            <v>0.95</v>
          </cell>
          <cell r="M59" t="str">
            <v>PRS</v>
          </cell>
          <cell r="N59">
            <v>0.55865921787709494</v>
          </cell>
          <cell r="O59">
            <v>83.798882681564251</v>
          </cell>
          <cell r="Q59">
            <v>20000</v>
          </cell>
          <cell r="R59">
            <v>6</v>
          </cell>
          <cell r="S59">
            <v>0.09</v>
          </cell>
        </row>
        <row r="60">
          <cell r="B60" t="str">
            <v>3 Lamp T5 High Output (high bay) New Fixture with fixture-mounted occupancy sensor (reduce proposed operating hours accordingly)</v>
          </cell>
          <cell r="C60">
            <v>179</v>
          </cell>
          <cell r="D60">
            <v>14250</v>
          </cell>
          <cell r="E60" t="str">
            <v>H2/J1</v>
          </cell>
          <cell r="F60">
            <v>175</v>
          </cell>
          <cell r="I60">
            <v>3</v>
          </cell>
          <cell r="J60">
            <v>1</v>
          </cell>
          <cell r="K60">
            <v>5000</v>
          </cell>
          <cell r="L60">
            <v>0.95</v>
          </cell>
          <cell r="M60" t="str">
            <v>PRS</v>
          </cell>
          <cell r="N60">
            <v>0.55865921787709494</v>
          </cell>
          <cell r="O60">
            <v>83.798882681564251</v>
          </cell>
          <cell r="Q60">
            <v>20000</v>
          </cell>
          <cell r="R60">
            <v>6</v>
          </cell>
          <cell r="S60">
            <v>0.09</v>
          </cell>
        </row>
        <row r="61">
          <cell r="B61" t="str">
            <v>4 Lamp T5 High Output (high bay) New Fixture</v>
          </cell>
          <cell r="C61">
            <v>234</v>
          </cell>
          <cell r="D61">
            <v>19000</v>
          </cell>
          <cell r="E61" t="str">
            <v>H3</v>
          </cell>
          <cell r="F61">
            <v>160</v>
          </cell>
          <cell r="I61">
            <v>4</v>
          </cell>
          <cell r="J61">
            <v>1</v>
          </cell>
          <cell r="K61">
            <v>5000</v>
          </cell>
          <cell r="L61">
            <v>0.95</v>
          </cell>
          <cell r="M61" t="str">
            <v>PRS</v>
          </cell>
          <cell r="N61">
            <v>0.42735042735042733</v>
          </cell>
          <cell r="O61">
            <v>85.470085470085465</v>
          </cell>
          <cell r="Q61">
            <v>20000</v>
          </cell>
          <cell r="R61">
            <v>6</v>
          </cell>
          <cell r="S61">
            <v>0.09</v>
          </cell>
        </row>
        <row r="62">
          <cell r="B62" t="str">
            <v>4 Lamp T5 High Output (high-bay) New Fixture with fixture-mounted occupancy sensor (reduce proposed operating hours accordingly)</v>
          </cell>
          <cell r="C62">
            <v>234</v>
          </cell>
          <cell r="D62">
            <v>19000</v>
          </cell>
          <cell r="E62" t="str">
            <v>H3/J2</v>
          </cell>
          <cell r="F62">
            <v>220</v>
          </cell>
          <cell r="G62">
            <v>0.11211676451402479</v>
          </cell>
          <cell r="I62">
            <v>4</v>
          </cell>
          <cell r="J62">
            <v>1</v>
          </cell>
          <cell r="K62">
            <v>5000</v>
          </cell>
          <cell r="L62">
            <v>0.95</v>
          </cell>
          <cell r="M62" t="str">
            <v>PRS</v>
          </cell>
          <cell r="N62">
            <v>0.42735042735042733</v>
          </cell>
          <cell r="O62">
            <v>85.470085470085465</v>
          </cell>
          <cell r="Q62">
            <v>20000</v>
          </cell>
          <cell r="R62">
            <v>6</v>
          </cell>
          <cell r="S62">
            <v>0.09</v>
          </cell>
        </row>
        <row r="63">
          <cell r="B63" t="str">
            <v>5 Lamp T5 High Output (high bay) New Fixture</v>
          </cell>
          <cell r="C63">
            <v>298</v>
          </cell>
          <cell r="D63">
            <v>23750</v>
          </cell>
          <cell r="E63" t="str">
            <v>H4</v>
          </cell>
          <cell r="F63">
            <v>180</v>
          </cell>
          <cell r="I63">
            <v>5</v>
          </cell>
          <cell r="J63">
            <v>1</v>
          </cell>
          <cell r="K63">
            <v>5000</v>
          </cell>
          <cell r="L63">
            <v>0.95</v>
          </cell>
          <cell r="M63" t="str">
            <v>PRS</v>
          </cell>
          <cell r="N63">
            <v>0.33557046979865773</v>
          </cell>
          <cell r="O63">
            <v>21.05263157894737</v>
          </cell>
          <cell r="Q63">
            <v>20000</v>
          </cell>
          <cell r="R63">
            <v>6</v>
          </cell>
          <cell r="S63">
            <v>0.09</v>
          </cell>
        </row>
        <row r="64">
          <cell r="B64" t="str">
            <v>6 Lamp T5 High Output (high bay) New Fixture</v>
          </cell>
          <cell r="C64">
            <v>352</v>
          </cell>
          <cell r="D64">
            <v>28500</v>
          </cell>
          <cell r="E64" t="str">
            <v>H4</v>
          </cell>
          <cell r="F64">
            <v>180</v>
          </cell>
          <cell r="I64">
            <v>6</v>
          </cell>
          <cell r="J64">
            <v>1</v>
          </cell>
          <cell r="K64">
            <v>5000</v>
          </cell>
          <cell r="L64">
            <v>0.95</v>
          </cell>
          <cell r="M64" t="str">
            <v>PRS</v>
          </cell>
          <cell r="N64">
            <v>0.28409090909090912</v>
          </cell>
          <cell r="O64">
            <v>17.543859649122808</v>
          </cell>
          <cell r="Q64">
            <v>20000</v>
          </cell>
          <cell r="R64">
            <v>6</v>
          </cell>
          <cell r="S64">
            <v>0.09</v>
          </cell>
        </row>
        <row r="65">
          <cell r="B65" t="str">
            <v>6 Lamp T5 High Output (high-bay) New Fixture with fixture-mounted occupancy sensor (reduce proposed operating hours accordingly)</v>
          </cell>
          <cell r="C65">
            <v>352</v>
          </cell>
          <cell r="D65">
            <v>28500</v>
          </cell>
          <cell r="E65" t="str">
            <v>H4/J2</v>
          </cell>
          <cell r="F65">
            <v>240</v>
          </cell>
          <cell r="I65">
            <v>6</v>
          </cell>
          <cell r="J65">
            <v>1</v>
          </cell>
          <cell r="K65">
            <v>5000</v>
          </cell>
          <cell r="L65">
            <v>0.95</v>
          </cell>
          <cell r="M65" t="str">
            <v>PRS</v>
          </cell>
          <cell r="N65">
            <v>0.28409090909090912</v>
          </cell>
          <cell r="O65">
            <v>17.543859649122808</v>
          </cell>
          <cell r="Q65">
            <v>20000</v>
          </cell>
          <cell r="R65">
            <v>6</v>
          </cell>
          <cell r="S65">
            <v>0.09</v>
          </cell>
        </row>
        <row r="66">
          <cell r="B66" t="str">
            <v>8 Lamp T5 High Output (high bay) New Fixture</v>
          </cell>
          <cell r="C66">
            <v>472</v>
          </cell>
          <cell r="D66">
            <v>38000</v>
          </cell>
          <cell r="E66" t="str">
            <v>H4</v>
          </cell>
          <cell r="F66">
            <v>180</v>
          </cell>
          <cell r="I66">
            <v>8</v>
          </cell>
          <cell r="J66">
            <v>1</v>
          </cell>
          <cell r="K66">
            <v>5000</v>
          </cell>
          <cell r="L66">
            <v>0.95</v>
          </cell>
          <cell r="M66" t="str">
            <v>PRS</v>
          </cell>
          <cell r="N66">
            <v>0.21186440677966101</v>
          </cell>
          <cell r="O66">
            <v>13.157894736842104</v>
          </cell>
          <cell r="Q66">
            <v>20000</v>
          </cell>
          <cell r="R66">
            <v>6</v>
          </cell>
          <cell r="S66">
            <v>0.09</v>
          </cell>
        </row>
        <row r="67">
          <cell r="B67" t="str">
            <v>12 Lamp T5 High Output (high bay) New Fixture</v>
          </cell>
          <cell r="C67">
            <v>704</v>
          </cell>
          <cell r="D67">
            <v>57000</v>
          </cell>
          <cell r="E67" t="str">
            <v>H4</v>
          </cell>
          <cell r="F67">
            <v>180</v>
          </cell>
          <cell r="I67">
            <v>12</v>
          </cell>
          <cell r="J67">
            <v>1</v>
          </cell>
          <cell r="K67">
            <v>5000</v>
          </cell>
          <cell r="L67">
            <v>0.95</v>
          </cell>
          <cell r="M67" t="str">
            <v>PRS</v>
          </cell>
          <cell r="N67">
            <v>0.14204545454545456</v>
          </cell>
          <cell r="O67">
            <v>8.7719298245614041</v>
          </cell>
          <cell r="Q67">
            <v>20000</v>
          </cell>
          <cell r="R67">
            <v>6</v>
          </cell>
          <cell r="S67">
            <v>0.09</v>
          </cell>
        </row>
        <row r="68">
          <cell r="B68" t="str">
            <v>2 Lamp T5 High Output (high-bay) fluorescent (Retrofit kit)</v>
          </cell>
          <cell r="C68">
            <v>118</v>
          </cell>
          <cell r="D68">
            <v>9500</v>
          </cell>
          <cell r="E68" t="str">
            <v>L1</v>
          </cell>
          <cell r="F68">
            <v>50</v>
          </cell>
          <cell r="I68">
            <v>2</v>
          </cell>
          <cell r="J68">
            <v>1</v>
          </cell>
          <cell r="K68">
            <v>5000</v>
          </cell>
          <cell r="L68">
            <v>0.95</v>
          </cell>
          <cell r="M68" t="str">
            <v>PRS</v>
          </cell>
          <cell r="N68">
            <v>0.84745762711864403</v>
          </cell>
          <cell r="O68">
            <v>84.745762711864401</v>
          </cell>
          <cell r="Q68">
            <v>20000</v>
          </cell>
          <cell r="R68">
            <v>6</v>
          </cell>
          <cell r="S68">
            <v>0.09</v>
          </cell>
        </row>
        <row r="69">
          <cell r="B69" t="str">
            <v>4 Lamp T5 High Output (high-bay) fluorescent (Retrofit kit)</v>
          </cell>
          <cell r="C69">
            <v>234</v>
          </cell>
          <cell r="D69">
            <v>19000</v>
          </cell>
          <cell r="E69" t="str">
            <v>L2</v>
          </cell>
          <cell r="F69">
            <v>100</v>
          </cell>
          <cell r="I69">
            <v>4</v>
          </cell>
          <cell r="J69">
            <v>1</v>
          </cell>
          <cell r="K69">
            <v>5000</v>
          </cell>
          <cell r="L69">
            <v>0.95</v>
          </cell>
          <cell r="M69" t="str">
            <v>PRS</v>
          </cell>
          <cell r="N69">
            <v>0.42735042735042733</v>
          </cell>
          <cell r="O69">
            <v>85.470085470085465</v>
          </cell>
          <cell r="Q69">
            <v>20000</v>
          </cell>
          <cell r="R69">
            <v>6</v>
          </cell>
          <cell r="S69">
            <v>0.09</v>
          </cell>
        </row>
        <row r="70">
          <cell r="B70" t="str">
            <v>----------------------------</v>
          </cell>
        </row>
        <row r="71">
          <cell r="B71" t="str">
            <v>High Output T8 New Fixtures</v>
          </cell>
        </row>
        <row r="72">
          <cell r="B72" t="str">
            <v>----------------------------</v>
          </cell>
        </row>
        <row r="73">
          <cell r="B73" t="str">
            <v>3 Lamp T8 4' High Output (high bay) New Fixture with Normal Light Output Ballast</v>
          </cell>
          <cell r="C73">
            <v>81</v>
          </cell>
          <cell r="D73">
            <v>7686.45</v>
          </cell>
          <cell r="E73" t="str">
            <v>H1</v>
          </cell>
          <cell r="F73">
            <v>120</v>
          </cell>
          <cell r="I73">
            <v>3</v>
          </cell>
          <cell r="J73">
            <v>0.87</v>
          </cell>
          <cell r="K73">
            <v>3100</v>
          </cell>
          <cell r="L73">
            <v>0.95</v>
          </cell>
          <cell r="M73" t="str">
            <v>ISH</v>
          </cell>
          <cell r="N73">
            <v>1.0740740740740742</v>
          </cell>
          <cell r="O73">
            <v>99.888888888888886</v>
          </cell>
          <cell r="Q73">
            <v>30000</v>
          </cell>
          <cell r="R73">
            <v>3.25</v>
          </cell>
          <cell r="S73">
            <v>0.09</v>
          </cell>
        </row>
        <row r="74">
          <cell r="B74" t="str">
            <v>3 Lamp T8 4' High Output (high bay) New Fixture with High Light Output Ballast</v>
          </cell>
          <cell r="C74">
            <v>111</v>
          </cell>
          <cell r="D74">
            <v>10160.25</v>
          </cell>
          <cell r="E74" t="str">
            <v>H1</v>
          </cell>
          <cell r="F74">
            <v>120</v>
          </cell>
          <cell r="I74">
            <v>3</v>
          </cell>
          <cell r="J74">
            <v>1.1499999999999999</v>
          </cell>
          <cell r="K74">
            <v>3100</v>
          </cell>
          <cell r="L74">
            <v>0.95</v>
          </cell>
          <cell r="M74" t="str">
            <v>ISH</v>
          </cell>
          <cell r="N74">
            <v>1.0360360360360359</v>
          </cell>
          <cell r="O74">
            <v>96.351351351351354</v>
          </cell>
          <cell r="Q74">
            <v>30000</v>
          </cell>
          <cell r="R74">
            <v>3.25</v>
          </cell>
          <cell r="S74">
            <v>0.09</v>
          </cell>
        </row>
        <row r="75">
          <cell r="B75" t="str">
            <v>4 Lamp T8 4' High Output (high bay) New Fixture with Normal Light Output Ballast</v>
          </cell>
          <cell r="C75">
            <v>108</v>
          </cell>
          <cell r="D75">
            <v>10248.6</v>
          </cell>
          <cell r="E75" t="str">
            <v>H1</v>
          </cell>
          <cell r="F75">
            <v>120</v>
          </cell>
          <cell r="I75">
            <v>4</v>
          </cell>
          <cell r="J75">
            <v>0.87</v>
          </cell>
          <cell r="K75">
            <v>3100</v>
          </cell>
          <cell r="L75">
            <v>0.95</v>
          </cell>
          <cell r="M75" t="str">
            <v>ISH</v>
          </cell>
          <cell r="N75">
            <v>0.80555555555555558</v>
          </cell>
          <cell r="O75">
            <v>99.888888888888886</v>
          </cell>
          <cell r="Q75">
            <v>30000</v>
          </cell>
          <cell r="R75">
            <v>3.25</v>
          </cell>
          <cell r="S75">
            <v>0.09</v>
          </cell>
        </row>
        <row r="76">
          <cell r="B76" t="str">
            <v>4 Lamp T8 4' High Output (high bay) New Fixture with High Light Output Ballast</v>
          </cell>
          <cell r="C76">
            <v>148</v>
          </cell>
          <cell r="D76">
            <v>13546.999999999998</v>
          </cell>
          <cell r="E76" t="str">
            <v>H2</v>
          </cell>
          <cell r="F76">
            <v>140</v>
          </cell>
          <cell r="I76">
            <v>4</v>
          </cell>
          <cell r="J76">
            <v>1.1499999999999999</v>
          </cell>
          <cell r="K76">
            <v>3100</v>
          </cell>
          <cell r="L76">
            <v>0.95</v>
          </cell>
          <cell r="M76" t="str">
            <v>ISH</v>
          </cell>
          <cell r="N76">
            <v>0.77702702702702697</v>
          </cell>
          <cell r="O76">
            <v>96.35135135135134</v>
          </cell>
          <cell r="Q76">
            <v>30000</v>
          </cell>
          <cell r="R76">
            <v>3.25</v>
          </cell>
          <cell r="S76">
            <v>0.09</v>
          </cell>
        </row>
        <row r="77">
          <cell r="B77" t="str">
            <v>6 Lamp T8 4' High Output (high bay) New Fixture with Normal Light Output Ballast</v>
          </cell>
          <cell r="C77">
            <v>162</v>
          </cell>
          <cell r="D77">
            <v>15372.9</v>
          </cell>
          <cell r="E77" t="str">
            <v>H2</v>
          </cell>
          <cell r="F77">
            <v>140</v>
          </cell>
          <cell r="I77">
            <v>6</v>
          </cell>
          <cell r="J77">
            <v>0.87</v>
          </cell>
          <cell r="K77">
            <v>3100</v>
          </cell>
          <cell r="L77">
            <v>0.95</v>
          </cell>
          <cell r="M77" t="str">
            <v>ISH</v>
          </cell>
          <cell r="N77">
            <v>0.53703703703703709</v>
          </cell>
          <cell r="O77">
            <v>99.888888888888886</v>
          </cell>
          <cell r="Q77">
            <v>30000</v>
          </cell>
          <cell r="R77">
            <v>3.25</v>
          </cell>
          <cell r="S77">
            <v>0.09</v>
          </cell>
        </row>
        <row r="78">
          <cell r="B78" t="str">
            <v>6 Lamp T8 4' High Output (high bay) New Fixture with High Light Output Ballast</v>
          </cell>
          <cell r="C78">
            <v>222</v>
          </cell>
          <cell r="D78">
            <v>21027.3</v>
          </cell>
          <cell r="E78" t="str">
            <v>H3</v>
          </cell>
          <cell r="F78">
            <v>160</v>
          </cell>
          <cell r="I78">
            <v>6</v>
          </cell>
          <cell r="J78">
            <v>1.19</v>
          </cell>
          <cell r="K78">
            <v>3100</v>
          </cell>
          <cell r="L78">
            <v>0.95</v>
          </cell>
          <cell r="M78" t="str">
            <v>ISH</v>
          </cell>
          <cell r="N78">
            <v>0.536036036036036</v>
          </cell>
          <cell r="O78">
            <v>99.702702702702709</v>
          </cell>
          <cell r="Q78">
            <v>30000</v>
          </cell>
          <cell r="R78">
            <v>3.25</v>
          </cell>
          <cell r="S78">
            <v>0.09</v>
          </cell>
        </row>
        <row r="79">
          <cell r="B79" t="str">
            <v>8 Lamp T8 4' High Output (high bay) New Fixture with Normal Light Output Ballast</v>
          </cell>
          <cell r="C79">
            <v>216</v>
          </cell>
          <cell r="D79">
            <v>20497.2</v>
          </cell>
          <cell r="E79" t="str">
            <v>H3</v>
          </cell>
          <cell r="F79">
            <v>160</v>
          </cell>
          <cell r="I79">
            <v>8</v>
          </cell>
          <cell r="J79">
            <v>0.87</v>
          </cell>
          <cell r="K79">
            <v>3100</v>
          </cell>
          <cell r="L79">
            <v>0.95</v>
          </cell>
          <cell r="M79" t="str">
            <v>ISH</v>
          </cell>
          <cell r="N79">
            <v>0.40277777777777779</v>
          </cell>
          <cell r="O79">
            <v>99.888888888888886</v>
          </cell>
          <cell r="Q79">
            <v>30000</v>
          </cell>
          <cell r="R79">
            <v>3.25</v>
          </cell>
          <cell r="S79">
            <v>0.09</v>
          </cell>
        </row>
        <row r="80">
          <cell r="B80" t="str">
            <v>8 Lamp T8 4' High Output (high bay) New Fixture with High Light Output Ballast</v>
          </cell>
          <cell r="C80">
            <v>296</v>
          </cell>
          <cell r="D80">
            <v>27093.999999999996</v>
          </cell>
          <cell r="E80" t="str">
            <v>H4</v>
          </cell>
          <cell r="F80">
            <v>180</v>
          </cell>
          <cell r="I80">
            <v>8</v>
          </cell>
          <cell r="J80">
            <v>1.1499999999999999</v>
          </cell>
          <cell r="K80">
            <v>3100</v>
          </cell>
          <cell r="L80">
            <v>0.95</v>
          </cell>
          <cell r="M80" t="str">
            <v>ISH</v>
          </cell>
          <cell r="N80">
            <v>0.38851351351351349</v>
          </cell>
          <cell r="O80">
            <v>96.35135135135134</v>
          </cell>
          <cell r="Q80">
            <v>30000</v>
          </cell>
          <cell r="R80">
            <v>3.25</v>
          </cell>
          <cell r="S80">
            <v>0.09</v>
          </cell>
        </row>
        <row r="81">
          <cell r="B81" t="str">
            <v>=================================</v>
          </cell>
        </row>
        <row r="82">
          <cell r="B82" t="str">
            <v>STANDARD T8 or T5 LAMP and BALLAST (New Fixture or Retrofit)</v>
          </cell>
        </row>
        <row r="83">
          <cell r="B83" t="str">
            <v>=================================</v>
          </cell>
        </row>
        <row r="84">
          <cell r="B84" t="str">
            <v xml:space="preserve">1 Lamp </v>
          </cell>
        </row>
        <row r="85">
          <cell r="B85" t="str">
            <v>----------------------------</v>
          </cell>
        </row>
        <row r="86">
          <cell r="B86" t="str">
            <v>Standard 2' T8 1 lamp 17 Watt 80+CRI lamp,  (1-F17T8)</v>
          </cell>
          <cell r="C86">
            <v>16</v>
          </cell>
          <cell r="D86">
            <v>1102.5</v>
          </cell>
          <cell r="E86" t="str">
            <v>B1</v>
          </cell>
          <cell r="F86">
            <v>10</v>
          </cell>
          <cell r="G86" t="str">
            <v>use high performance T8 for better results</v>
          </cell>
          <cell r="Q86">
            <v>24000</v>
          </cell>
          <cell r="R86">
            <v>2.5</v>
          </cell>
          <cell r="S86">
            <v>0.09</v>
          </cell>
        </row>
        <row r="87">
          <cell r="B87" t="str">
            <v>Standard 4' T8 1 lamp 32 Watt 80+CRI lamp with Reduced Light Output ballast, (1-F32T8)</v>
          </cell>
          <cell r="C87">
            <v>27</v>
          </cell>
          <cell r="D87">
            <v>1991.25</v>
          </cell>
          <cell r="E87" t="str">
            <v>B1</v>
          </cell>
          <cell r="F87">
            <v>10</v>
          </cell>
          <cell r="G87" t="str">
            <v>use high performance T8 for better results</v>
          </cell>
          <cell r="Q87">
            <v>24000</v>
          </cell>
          <cell r="R87">
            <v>2.5</v>
          </cell>
          <cell r="S87">
            <v>0.09</v>
          </cell>
        </row>
        <row r="88">
          <cell r="B88" t="str">
            <v>Standard 4' T8 1 lamp 32 Watt 80+CRI lamp with Normal Light Output ballast, (1-F32T8)</v>
          </cell>
          <cell r="C88">
            <v>31</v>
          </cell>
          <cell r="D88">
            <v>2400</v>
          </cell>
          <cell r="E88" t="str">
            <v>B1</v>
          </cell>
          <cell r="F88">
            <v>10</v>
          </cell>
          <cell r="G88" t="str">
            <v>use high performance T8 for better results</v>
          </cell>
          <cell r="Q88">
            <v>24000</v>
          </cell>
          <cell r="R88">
            <v>2.5</v>
          </cell>
          <cell r="S88">
            <v>0.09</v>
          </cell>
        </row>
        <row r="89">
          <cell r="B89" t="str">
            <v>----------------------------</v>
          </cell>
        </row>
        <row r="90">
          <cell r="B90" t="str">
            <v>2 Lamp</v>
          </cell>
        </row>
        <row r="91">
          <cell r="B91" t="str">
            <v>----------------------------</v>
          </cell>
        </row>
        <row r="92">
          <cell r="B92" t="str">
            <v>Standard 4' T8 2 lamp 32 Watt 80+CRI lamp with Very Reduced Light Output ballast, (2-F32T8)</v>
          </cell>
          <cell r="C92">
            <v>51</v>
          </cell>
          <cell r="D92">
            <v>4315.8499999999995</v>
          </cell>
          <cell r="E92" t="str">
            <v>B2</v>
          </cell>
          <cell r="F92">
            <v>20</v>
          </cell>
          <cell r="G92" t="str">
            <v>use high performance T8 for better results</v>
          </cell>
          <cell r="I92">
            <v>2</v>
          </cell>
          <cell r="J92">
            <v>0.77</v>
          </cell>
          <cell r="K92">
            <v>2950</v>
          </cell>
          <cell r="L92">
            <v>0.95</v>
          </cell>
          <cell r="M92" t="str">
            <v>ISL</v>
          </cell>
          <cell r="N92">
            <v>1.5098039215686274</v>
          </cell>
          <cell r="O92">
            <v>89.078431372549019</v>
          </cell>
          <cell r="Q92">
            <v>24000</v>
          </cell>
          <cell r="R92">
            <v>2.5</v>
          </cell>
          <cell r="S92">
            <v>0.09</v>
          </cell>
        </row>
        <row r="93">
          <cell r="B93" t="str">
            <v>Standard 4' T8 2 lamp 32 Watt 80+CRI lamp with Reduced Light Output ballast, (2-F32T8)</v>
          </cell>
          <cell r="C93">
            <v>55</v>
          </cell>
          <cell r="D93">
            <v>4371.8999999999996</v>
          </cell>
          <cell r="E93" t="str">
            <v>B2</v>
          </cell>
          <cell r="F93">
            <v>20</v>
          </cell>
          <cell r="G93" t="str">
            <v>use high performance T8 for better results</v>
          </cell>
          <cell r="I93">
            <v>2</v>
          </cell>
          <cell r="J93">
            <v>0.78</v>
          </cell>
          <cell r="K93">
            <v>2950</v>
          </cell>
          <cell r="L93">
            <v>0.95</v>
          </cell>
          <cell r="M93" t="str">
            <v>ISL</v>
          </cell>
          <cell r="N93">
            <v>1.4181818181818182</v>
          </cell>
          <cell r="O93">
            <v>83.672727272727272</v>
          </cell>
          <cell r="Q93">
            <v>24000</v>
          </cell>
          <cell r="R93">
            <v>2.5</v>
          </cell>
          <cell r="S93">
            <v>0.09</v>
          </cell>
        </row>
        <row r="94">
          <cell r="B94" t="str">
            <v>Standard 4' T8 2 lamp 32 Watt 80+CRI lamp with Normal Light Output ballast, (2-F32T8)</v>
          </cell>
          <cell r="C94">
            <v>59</v>
          </cell>
          <cell r="D94">
            <v>4932.3999999999996</v>
          </cell>
          <cell r="E94" t="str">
            <v>B2</v>
          </cell>
          <cell r="F94">
            <v>20</v>
          </cell>
          <cell r="G94" t="str">
            <v>use high performance T8 for better results</v>
          </cell>
          <cell r="I94">
            <v>2</v>
          </cell>
          <cell r="J94">
            <v>0.88</v>
          </cell>
          <cell r="K94">
            <v>2950</v>
          </cell>
          <cell r="L94">
            <v>0.95</v>
          </cell>
          <cell r="M94" t="str">
            <v>ISN</v>
          </cell>
          <cell r="N94">
            <v>1.4915254237288136</v>
          </cell>
          <cell r="O94">
            <v>88</v>
          </cell>
          <cell r="Q94">
            <v>24000</v>
          </cell>
          <cell r="R94">
            <v>2.5</v>
          </cell>
          <cell r="S94">
            <v>0.09</v>
          </cell>
        </row>
        <row r="95">
          <cell r="B95" t="str">
            <v>Standard T8 Stairwell or Parking Lot Light,  4' T8 2 lamp 32 Watt 80+CRI lamp with Normal Light Output ballast and fixture-mounted occupancy sensor (reduce proposed operating hours accordingly)</v>
          </cell>
          <cell r="C95">
            <v>65</v>
          </cell>
          <cell r="D95">
            <v>4932.3999999999996</v>
          </cell>
          <cell r="E95" t="str">
            <v>B2/J1</v>
          </cell>
          <cell r="F95">
            <v>55</v>
          </cell>
          <cell r="G95" t="str">
            <v>Stairwell or parking garage new fixture  (includes a light that is on 24/7)</v>
          </cell>
          <cell r="I95">
            <v>2</v>
          </cell>
          <cell r="J95">
            <v>0.88</v>
          </cell>
          <cell r="K95">
            <v>2950</v>
          </cell>
          <cell r="L95">
            <v>0.95</v>
          </cell>
          <cell r="M95" t="str">
            <v>ISN</v>
          </cell>
          <cell r="N95">
            <v>1.3538461538461539</v>
          </cell>
          <cell r="O95">
            <v>79.876923076923077</v>
          </cell>
          <cell r="Q95">
            <v>24000</v>
          </cell>
          <cell r="R95">
            <v>2.5</v>
          </cell>
          <cell r="S95">
            <v>0.09</v>
          </cell>
        </row>
        <row r="96">
          <cell r="B96" t="str">
            <v>Standard 8' T8 2 lamp 59 Watt 80+CRI lamp with Normal Light Output ballast, (2-F96T8)</v>
          </cell>
          <cell r="C96">
            <v>105</v>
          </cell>
          <cell r="D96">
            <v>9027</v>
          </cell>
          <cell r="E96" t="str">
            <v>B2</v>
          </cell>
          <cell r="F96">
            <v>20</v>
          </cell>
          <cell r="G96" t="str">
            <v>use high performance T8 for better results</v>
          </cell>
          <cell r="Q96">
            <v>24000</v>
          </cell>
          <cell r="R96">
            <v>2.5</v>
          </cell>
          <cell r="S96">
            <v>0.09</v>
          </cell>
        </row>
        <row r="97">
          <cell r="B97" t="str">
            <v>----------------------------</v>
          </cell>
        </row>
        <row r="98">
          <cell r="B98" t="str">
            <v>3 Lamp</v>
          </cell>
        </row>
        <row r="99">
          <cell r="B99" t="str">
            <v>----------------------------</v>
          </cell>
        </row>
        <row r="100">
          <cell r="B100" t="str">
            <v>Standard 4' T8 3 lamp 32 Watt 80+CRI lamp with Reduced Light Output ballast, (3-F32T8)</v>
          </cell>
          <cell r="C100">
            <v>80</v>
          </cell>
          <cell r="D100">
            <v>5973.75</v>
          </cell>
          <cell r="E100" t="str">
            <v>B2</v>
          </cell>
          <cell r="F100">
            <v>20</v>
          </cell>
          <cell r="G100" t="str">
            <v>use high performance T8 for better results</v>
          </cell>
          <cell r="Q100">
            <v>24000</v>
          </cell>
          <cell r="R100">
            <v>2.5</v>
          </cell>
          <cell r="S100">
            <v>0.09</v>
          </cell>
        </row>
        <row r="101">
          <cell r="B101" t="str">
            <v>Standard 4' T8 3 lamp 32 Watt 80+CRI lamp with Normal Light Output ballast, (3-F32T8)</v>
          </cell>
          <cell r="C101">
            <v>90</v>
          </cell>
          <cell r="D101">
            <v>6969.375</v>
          </cell>
          <cell r="E101" t="str">
            <v>B2</v>
          </cell>
          <cell r="F101">
            <v>20</v>
          </cell>
          <cell r="G101" t="str">
            <v>use high performance T8 for better results</v>
          </cell>
          <cell r="Q101">
            <v>24000</v>
          </cell>
          <cell r="R101">
            <v>2.5</v>
          </cell>
          <cell r="S101">
            <v>0.09</v>
          </cell>
        </row>
        <row r="102">
          <cell r="B102" t="str">
            <v>----------------------------</v>
          </cell>
        </row>
        <row r="103">
          <cell r="B103" t="str">
            <v>4 Lamp</v>
          </cell>
        </row>
        <row r="104">
          <cell r="B104" t="str">
            <v>----------------------------</v>
          </cell>
        </row>
        <row r="105">
          <cell r="B105" t="str">
            <v>Standard 4' T8 4 lamp 32 Watt 80+CRI lamp with Reduced Light Output ballast, (4-F32T8)</v>
          </cell>
          <cell r="C105">
            <v>98</v>
          </cell>
          <cell r="D105">
            <v>7728</v>
          </cell>
          <cell r="E105" t="str">
            <v>B2</v>
          </cell>
          <cell r="F105">
            <v>20</v>
          </cell>
          <cell r="G105" t="str">
            <v>use high performance T8 for better results</v>
          </cell>
          <cell r="Q105">
            <v>24000</v>
          </cell>
          <cell r="R105">
            <v>2.5</v>
          </cell>
          <cell r="S105">
            <v>0.09</v>
          </cell>
        </row>
        <row r="106">
          <cell r="B106" t="str">
            <v>Standard 4' T8 4 lamp 32 Watt 80+CRI lamp with Normal Light Output ballast, (4-F32T8)</v>
          </cell>
          <cell r="C106">
            <v>114</v>
          </cell>
          <cell r="D106">
            <v>9292.5</v>
          </cell>
          <cell r="E106" t="str">
            <v>B2</v>
          </cell>
          <cell r="F106">
            <v>20</v>
          </cell>
          <cell r="G106" t="str">
            <v>use high performance T8 for better results</v>
          </cell>
          <cell r="Q106">
            <v>24000</v>
          </cell>
          <cell r="R106">
            <v>2.5</v>
          </cell>
          <cell r="S106">
            <v>0.09</v>
          </cell>
        </row>
        <row r="107">
          <cell r="B107" t="str">
            <v>=================================</v>
          </cell>
        </row>
        <row r="108">
          <cell r="B108" t="str">
            <v>HARDWIRED COMPACT FLUORESCENT New Fixture or Retrofit kit (includes GU-24)</v>
          </cell>
        </row>
        <row r="109">
          <cell r="B109" t="str">
            <v>=================================</v>
          </cell>
        </row>
        <row r="110">
          <cell r="B110" t="str">
            <v>Hard-Wired CFL, 1-13 Watt Lamp (new fixture)</v>
          </cell>
          <cell r="C110">
            <v>16</v>
          </cell>
          <cell r="D110">
            <v>765</v>
          </cell>
          <cell r="E110" t="str">
            <v>C1</v>
          </cell>
          <cell r="F110">
            <v>40</v>
          </cell>
          <cell r="G110" t="str">
            <v>includes GU-24</v>
          </cell>
          <cell r="Q110">
            <v>10000</v>
          </cell>
          <cell r="R110">
            <v>1.91</v>
          </cell>
          <cell r="S110">
            <v>0.09</v>
          </cell>
        </row>
        <row r="111">
          <cell r="B111" t="str">
            <v>Hard-Wired CFL, 1-18 Watt Lamp (new fixture)</v>
          </cell>
          <cell r="C111">
            <v>19</v>
          </cell>
          <cell r="D111">
            <v>1062.5</v>
          </cell>
          <cell r="E111" t="str">
            <v>C1</v>
          </cell>
          <cell r="F111">
            <v>40</v>
          </cell>
          <cell r="G111" t="str">
            <v>includes GU-24</v>
          </cell>
          <cell r="Q111">
            <v>10000</v>
          </cell>
          <cell r="R111">
            <v>1.91</v>
          </cell>
          <cell r="S111">
            <v>0.09</v>
          </cell>
        </row>
        <row r="112">
          <cell r="B112" t="str">
            <v>Hard-Wired CFL, 1-26 Watt Lamp (new fixture)</v>
          </cell>
          <cell r="C112">
            <v>27</v>
          </cell>
          <cell r="D112">
            <v>1530</v>
          </cell>
          <cell r="E112" t="str">
            <v>C1</v>
          </cell>
          <cell r="F112">
            <v>40</v>
          </cell>
          <cell r="G112" t="str">
            <v>includes GU-24</v>
          </cell>
          <cell r="Q112">
            <v>10000</v>
          </cell>
          <cell r="R112">
            <v>3.3</v>
          </cell>
          <cell r="S112">
            <v>0.09</v>
          </cell>
        </row>
        <row r="113">
          <cell r="B113" t="str">
            <v>Hard-Wired CFL, 1-32 Watt Lamp (new fixture)</v>
          </cell>
          <cell r="C113">
            <v>33</v>
          </cell>
          <cell r="D113">
            <v>2040</v>
          </cell>
          <cell r="E113" t="str">
            <v>C1</v>
          </cell>
          <cell r="F113">
            <v>40</v>
          </cell>
          <cell r="G113" t="str">
            <v>includes GU-24</v>
          </cell>
          <cell r="Q113">
            <v>10000</v>
          </cell>
          <cell r="R113">
            <v>5.2</v>
          </cell>
          <cell r="S113">
            <v>0.09</v>
          </cell>
        </row>
        <row r="114">
          <cell r="B114" t="str">
            <v>Hard-Wired CFL, 1-42 Watt Lamp (new fixture)</v>
          </cell>
          <cell r="C114">
            <v>43</v>
          </cell>
          <cell r="D114">
            <v>2720</v>
          </cell>
          <cell r="E114" t="str">
            <v>C1</v>
          </cell>
          <cell r="F114">
            <v>40</v>
          </cell>
          <cell r="G114" t="str">
            <v>includes GU-24</v>
          </cell>
          <cell r="Q114">
            <v>10000</v>
          </cell>
          <cell r="R114">
            <v>5.5</v>
          </cell>
          <cell r="S114">
            <v>0.09</v>
          </cell>
        </row>
        <row r="115">
          <cell r="B115" t="str">
            <v>----------------------------</v>
          </cell>
        </row>
        <row r="116">
          <cell r="B116" t="str">
            <v>Hard-Wired CFL,  2-13 Watt Lamps (new fixture)</v>
          </cell>
          <cell r="C116">
            <v>29</v>
          </cell>
          <cell r="D116">
            <v>1530</v>
          </cell>
          <cell r="E116" t="str">
            <v>C1</v>
          </cell>
          <cell r="F116">
            <v>40</v>
          </cell>
          <cell r="G116" t="str">
            <v>includes GU-24</v>
          </cell>
          <cell r="Q116">
            <v>10000</v>
          </cell>
          <cell r="R116">
            <v>1.91</v>
          </cell>
          <cell r="S116">
            <v>0.09</v>
          </cell>
        </row>
        <row r="117">
          <cell r="B117" t="str">
            <v>Hard-Wired CFL,  2-18 Watt Lamps (new fixture)</v>
          </cell>
          <cell r="C117">
            <v>38</v>
          </cell>
          <cell r="D117">
            <v>2125</v>
          </cell>
          <cell r="E117" t="str">
            <v>C1</v>
          </cell>
          <cell r="F117">
            <v>40</v>
          </cell>
          <cell r="G117" t="str">
            <v>includes GU-24</v>
          </cell>
          <cell r="Q117">
            <v>10000</v>
          </cell>
          <cell r="R117">
            <v>1.91</v>
          </cell>
          <cell r="S117">
            <v>0.09</v>
          </cell>
        </row>
        <row r="118">
          <cell r="B118" t="str">
            <v>Hard-Wired CFL,  2-26 Watt Lamps (new fixture)</v>
          </cell>
          <cell r="C118">
            <v>54</v>
          </cell>
          <cell r="D118">
            <v>3060</v>
          </cell>
          <cell r="E118" t="str">
            <v>C2</v>
          </cell>
          <cell r="F118">
            <v>80</v>
          </cell>
          <cell r="G118" t="str">
            <v>includes GU-24</v>
          </cell>
          <cell r="Q118">
            <v>10000</v>
          </cell>
          <cell r="R118">
            <v>3.3</v>
          </cell>
          <cell r="S118">
            <v>0.09</v>
          </cell>
        </row>
        <row r="119">
          <cell r="B119" t="str">
            <v>Hard-Wired CFL,  2-28 Watt Lamps (new fixture)</v>
          </cell>
          <cell r="C119">
            <v>58</v>
          </cell>
          <cell r="D119">
            <v>2965.14</v>
          </cell>
          <cell r="E119" t="str">
            <v>C2</v>
          </cell>
          <cell r="F119">
            <v>80</v>
          </cell>
          <cell r="G119" t="str">
            <v>includes GU-24</v>
          </cell>
          <cell r="Q119">
            <v>10000</v>
          </cell>
          <cell r="R119">
            <v>3.3</v>
          </cell>
          <cell r="S119">
            <v>0.09</v>
          </cell>
        </row>
        <row r="120">
          <cell r="B120" t="str">
            <v>Hard-Wired CFL,  2-32 Watt Lamps (new fixture)</v>
          </cell>
          <cell r="C120">
            <v>68</v>
          </cell>
          <cell r="D120">
            <v>3398.13</v>
          </cell>
          <cell r="E120" t="str">
            <v>C2</v>
          </cell>
          <cell r="F120">
            <v>80</v>
          </cell>
          <cell r="G120" t="str">
            <v>includes GU-24</v>
          </cell>
          <cell r="Q120">
            <v>10000</v>
          </cell>
          <cell r="R120">
            <v>5.2</v>
          </cell>
          <cell r="S120">
            <v>0.09</v>
          </cell>
        </row>
        <row r="121">
          <cell r="B121" t="str">
            <v>Hard-Wired CFL,  2-42 Watt Lamps (new fixture)</v>
          </cell>
          <cell r="C121">
            <v>93</v>
          </cell>
          <cell r="D121">
            <v>5440</v>
          </cell>
          <cell r="E121" t="str">
            <v>C2</v>
          </cell>
          <cell r="F121">
            <v>80</v>
          </cell>
          <cell r="G121" t="str">
            <v>includes GU-24</v>
          </cell>
          <cell r="Q121">
            <v>10000</v>
          </cell>
          <cell r="R121">
            <v>5.5</v>
          </cell>
          <cell r="S121">
            <v>0.09</v>
          </cell>
        </row>
        <row r="122">
          <cell r="B122" t="str">
            <v>----------------------------</v>
          </cell>
        </row>
        <row r="123">
          <cell r="B123" t="str">
            <v>Hard-Wired CFL,  4-13 Watt Lamps (new fixture)</v>
          </cell>
          <cell r="C123">
            <v>58</v>
          </cell>
          <cell r="D123">
            <v>3060</v>
          </cell>
          <cell r="E123" t="str">
            <v>C2</v>
          </cell>
          <cell r="F123">
            <v>80</v>
          </cell>
          <cell r="G123" t="str">
            <v>includes GU-24</v>
          </cell>
          <cell r="Q123">
            <v>10000</v>
          </cell>
          <cell r="R123">
            <v>1.91</v>
          </cell>
          <cell r="S123">
            <v>0.09</v>
          </cell>
        </row>
        <row r="124">
          <cell r="B124" t="str">
            <v>Hard-Wired CFL,  4-18 Watt Lamps (new fixture)</v>
          </cell>
          <cell r="C124">
            <v>76</v>
          </cell>
          <cell r="D124">
            <v>4250</v>
          </cell>
          <cell r="E124" t="str">
            <v>C2</v>
          </cell>
          <cell r="F124">
            <v>80</v>
          </cell>
          <cell r="G124" t="str">
            <v>includes GU-24</v>
          </cell>
          <cell r="Q124">
            <v>10000</v>
          </cell>
          <cell r="R124">
            <v>1.91</v>
          </cell>
          <cell r="S124">
            <v>0.09</v>
          </cell>
        </row>
        <row r="125">
          <cell r="B125" t="str">
            <v>Hard-Wired CFL,  4-26 Watt Lamps (new fixture)</v>
          </cell>
          <cell r="C125">
            <v>108</v>
          </cell>
          <cell r="D125">
            <v>6120</v>
          </cell>
          <cell r="E125" t="str">
            <v>C2</v>
          </cell>
          <cell r="F125">
            <v>80</v>
          </cell>
          <cell r="G125" t="str">
            <v>includes GU-24</v>
          </cell>
          <cell r="Q125">
            <v>10000</v>
          </cell>
          <cell r="R125">
            <v>3.3</v>
          </cell>
          <cell r="S125">
            <v>0.09</v>
          </cell>
        </row>
        <row r="126">
          <cell r="B126" t="str">
            <v>Hard-Wired CFL,  4-42 Watt Lamps (new fixture)</v>
          </cell>
          <cell r="C126">
            <v>186</v>
          </cell>
          <cell r="D126">
            <v>10880</v>
          </cell>
          <cell r="E126" t="str">
            <v>C2</v>
          </cell>
          <cell r="F126">
            <v>80</v>
          </cell>
          <cell r="G126" t="str">
            <v>includes GU-24</v>
          </cell>
          <cell r="Q126">
            <v>10000</v>
          </cell>
          <cell r="R126">
            <v>5.5</v>
          </cell>
          <cell r="S126">
            <v>0.09</v>
          </cell>
        </row>
        <row r="127">
          <cell r="B127" t="str">
            <v>=================================</v>
          </cell>
        </row>
        <row r="128">
          <cell r="B128" t="str">
            <v>CERAMIC METAL HALIDE  (New Fixture)</v>
          </cell>
        </row>
        <row r="129">
          <cell r="B129" t="str">
            <v>=================================</v>
          </cell>
        </row>
        <row r="130">
          <cell r="B130" t="str">
            <v>Ceramic Metal Halide, 1-20 Watt Lamp (single end)</v>
          </cell>
          <cell r="C130">
            <v>28</v>
          </cell>
          <cell r="D130">
            <v>1100</v>
          </cell>
          <cell r="E130" t="str">
            <v>D1</v>
          </cell>
          <cell r="F130">
            <v>80</v>
          </cell>
          <cell r="G130" t="str">
            <v>Great option for retail display lighting - ie. track or recessed can</v>
          </cell>
          <cell r="Q130">
            <v>9000</v>
          </cell>
          <cell r="R130">
            <v>43.25</v>
          </cell>
          <cell r="S130">
            <v>0.15</v>
          </cell>
        </row>
        <row r="131">
          <cell r="B131" t="str">
            <v>Ceramic Metal Halide, 1-39 Watt Lamp (single or double end)</v>
          </cell>
          <cell r="C131">
            <v>45</v>
          </cell>
          <cell r="D131">
            <v>2600</v>
          </cell>
          <cell r="E131" t="str">
            <v>D1</v>
          </cell>
          <cell r="F131">
            <v>80</v>
          </cell>
          <cell r="G131" t="str">
            <v>Great option for retail display lighting - ie. track or recessed can</v>
          </cell>
          <cell r="Q131">
            <v>9000</v>
          </cell>
          <cell r="R131">
            <v>43.25</v>
          </cell>
          <cell r="S131">
            <v>0.15</v>
          </cell>
        </row>
        <row r="132">
          <cell r="B132" t="str">
            <v>Ceramic Metal Halide, 1-70 Watt Lamp (single or double end)</v>
          </cell>
          <cell r="C132">
            <v>80</v>
          </cell>
          <cell r="D132">
            <v>5200</v>
          </cell>
          <cell r="E132" t="str">
            <v>D1</v>
          </cell>
          <cell r="F132">
            <v>80</v>
          </cell>
          <cell r="G132" t="str">
            <v>Great option for retail display lighting - ie. track or recessed can</v>
          </cell>
          <cell r="Q132">
            <v>20000</v>
          </cell>
          <cell r="R132">
            <v>43.25</v>
          </cell>
          <cell r="S132">
            <v>0.15</v>
          </cell>
        </row>
        <row r="133">
          <cell r="B133" t="str">
            <v>Ceramic Metal Halide, 1-150 Watt Lamp (single or double end)</v>
          </cell>
          <cell r="C133">
            <v>168</v>
          </cell>
          <cell r="D133">
            <v>10200</v>
          </cell>
          <cell r="E133" t="str">
            <v>D2</v>
          </cell>
          <cell r="F133">
            <v>150</v>
          </cell>
          <cell r="G133" t="str">
            <v>Great option for retail display lighting - ie. track or recessed can</v>
          </cell>
          <cell r="Q133">
            <v>20000</v>
          </cell>
          <cell r="R133">
            <v>43.25</v>
          </cell>
          <cell r="S133">
            <v>0.15</v>
          </cell>
        </row>
        <row r="134">
          <cell r="B134" t="str">
            <v>Ceramic Metal Halide, 1-50 Watt Bulb</v>
          </cell>
          <cell r="C134">
            <v>55</v>
          </cell>
          <cell r="D134">
            <v>2640</v>
          </cell>
          <cell r="E134" t="str">
            <v>D1</v>
          </cell>
          <cell r="F134">
            <v>80</v>
          </cell>
          <cell r="G134" t="str">
            <v xml:space="preserve">Great option for general retail lighting </v>
          </cell>
          <cell r="Q134">
            <v>9000</v>
          </cell>
          <cell r="R134">
            <v>43.25</v>
          </cell>
          <cell r="S134">
            <v>0.15</v>
          </cell>
        </row>
        <row r="135">
          <cell r="B135" t="str">
            <v>Ceramic Metal Halide, 1-70 Watt Bulb</v>
          </cell>
          <cell r="C135">
            <v>80</v>
          </cell>
          <cell r="D135">
            <v>4700</v>
          </cell>
          <cell r="E135" t="str">
            <v>D1</v>
          </cell>
          <cell r="F135">
            <v>80</v>
          </cell>
          <cell r="G135" t="str">
            <v xml:space="preserve">Great option for general retail lighting </v>
          </cell>
          <cell r="Q135">
            <v>20000</v>
          </cell>
          <cell r="R135">
            <v>43.25</v>
          </cell>
          <cell r="S135">
            <v>0.15</v>
          </cell>
        </row>
        <row r="136">
          <cell r="B136" t="str">
            <v>Ceramic Metal Halide, 1-100 Watt Bulb</v>
          </cell>
          <cell r="C136">
            <v>112</v>
          </cell>
          <cell r="D136">
            <v>6800</v>
          </cell>
          <cell r="E136" t="str">
            <v>D2</v>
          </cell>
          <cell r="F136">
            <v>150</v>
          </cell>
          <cell r="G136" t="str">
            <v xml:space="preserve">Great option for general retail lighting </v>
          </cell>
          <cell r="Q136">
            <v>20000</v>
          </cell>
          <cell r="R136">
            <v>43.25</v>
          </cell>
          <cell r="S136">
            <v>0.15</v>
          </cell>
        </row>
        <row r="137">
          <cell r="B137" t="str">
            <v>Ceramic Metal Halide, 1-150 Watt Bulb</v>
          </cell>
          <cell r="C137">
            <v>168</v>
          </cell>
          <cell r="D137">
            <v>9920</v>
          </cell>
          <cell r="E137" t="str">
            <v>D2</v>
          </cell>
          <cell r="F137">
            <v>150</v>
          </cell>
          <cell r="G137" t="str">
            <v xml:space="preserve">Great option for general retail lighting </v>
          </cell>
          <cell r="Q137">
            <v>20000</v>
          </cell>
          <cell r="R137">
            <v>43.25</v>
          </cell>
          <cell r="S137">
            <v>0.15</v>
          </cell>
        </row>
        <row r="138">
          <cell r="B138" t="str">
            <v>Ceramic Metal Halide, 1-39 Watt PAR Lamp</v>
          </cell>
          <cell r="C138">
            <v>45</v>
          </cell>
          <cell r="D138">
            <v>1600</v>
          </cell>
          <cell r="E138" t="str">
            <v>D1</v>
          </cell>
          <cell r="F138">
            <v>80</v>
          </cell>
          <cell r="G138" t="str">
            <v>Great option for retail display lighting - ie. track or recessed can</v>
          </cell>
          <cell r="Q138">
            <v>9000</v>
          </cell>
          <cell r="R138">
            <v>43.25</v>
          </cell>
          <cell r="S138">
            <v>0.15</v>
          </cell>
        </row>
        <row r="139">
          <cell r="B139" t="str">
            <v>Ceramic Metal Halide, 1-70 Watt PAR Lamp</v>
          </cell>
          <cell r="C139">
            <v>80</v>
          </cell>
          <cell r="D139">
            <v>3840</v>
          </cell>
          <cell r="E139" t="str">
            <v>D1</v>
          </cell>
          <cell r="F139">
            <v>80</v>
          </cell>
          <cell r="G139" t="str">
            <v>Great option for retail display lighting - ie. track or recessed can</v>
          </cell>
          <cell r="Q139">
            <v>20000</v>
          </cell>
          <cell r="R139">
            <v>43.25</v>
          </cell>
          <cell r="S139">
            <v>0.15</v>
          </cell>
        </row>
        <row r="140">
          <cell r="B140" t="str">
            <v>Ceramic Metal Halide, 1-100 Watt PAR Lamp</v>
          </cell>
          <cell r="C140">
            <v>112</v>
          </cell>
          <cell r="D140">
            <v>5440</v>
          </cell>
          <cell r="E140" t="str">
            <v>D2</v>
          </cell>
          <cell r="F140">
            <v>150</v>
          </cell>
          <cell r="G140" t="str">
            <v>Great option for retail display lighting - ie. track or recessed can</v>
          </cell>
          <cell r="Q140">
            <v>20000</v>
          </cell>
          <cell r="R140">
            <v>43.25</v>
          </cell>
          <cell r="S140">
            <v>0.15</v>
          </cell>
        </row>
        <row r="141">
          <cell r="B141" t="str">
            <v>=================================</v>
          </cell>
        </row>
        <row r="142">
          <cell r="B142" t="str">
            <v>SCREW-IN LAMPS  (Lamp Only)</v>
          </cell>
        </row>
        <row r="143">
          <cell r="B143" t="str">
            <v>=================================</v>
          </cell>
        </row>
        <row r="144">
          <cell r="B144" t="str">
            <v>Screw-In CFL, 3 Watt</v>
          </cell>
          <cell r="C144">
            <v>3</v>
          </cell>
          <cell r="D144">
            <v>128</v>
          </cell>
          <cell r="E144" t="str">
            <v>E1</v>
          </cell>
          <cell r="F144">
            <v>3</v>
          </cell>
          <cell r="G144" t="str">
            <v>None</v>
          </cell>
          <cell r="Q144">
            <v>10000</v>
          </cell>
          <cell r="R144">
            <v>2</v>
          </cell>
          <cell r="S144">
            <v>0.09</v>
          </cell>
        </row>
        <row r="145">
          <cell r="B145" t="str">
            <v>Screw-In CFL, 5 Watt</v>
          </cell>
          <cell r="C145">
            <v>5</v>
          </cell>
          <cell r="D145">
            <v>213</v>
          </cell>
          <cell r="E145" t="str">
            <v>E1</v>
          </cell>
          <cell r="F145">
            <v>3</v>
          </cell>
          <cell r="G145" t="str">
            <v>None</v>
          </cell>
          <cell r="Q145">
            <v>10000</v>
          </cell>
          <cell r="R145">
            <v>2</v>
          </cell>
          <cell r="S145">
            <v>0.09</v>
          </cell>
        </row>
        <row r="146">
          <cell r="B146" t="str">
            <v>Screw-In CFL, 7 Watt</v>
          </cell>
          <cell r="C146">
            <v>7</v>
          </cell>
          <cell r="D146">
            <v>327</v>
          </cell>
          <cell r="E146" t="str">
            <v>E1</v>
          </cell>
          <cell r="F146">
            <v>3</v>
          </cell>
          <cell r="G146" t="str">
            <v>None</v>
          </cell>
          <cell r="Q146">
            <v>10000</v>
          </cell>
          <cell r="R146">
            <v>2</v>
          </cell>
          <cell r="S146">
            <v>0.09</v>
          </cell>
        </row>
        <row r="147">
          <cell r="B147" t="str">
            <v>Screw-In CFL, 9 Watt</v>
          </cell>
          <cell r="C147">
            <v>9</v>
          </cell>
          <cell r="D147">
            <v>421</v>
          </cell>
          <cell r="E147" t="str">
            <v>E1</v>
          </cell>
          <cell r="F147">
            <v>3</v>
          </cell>
          <cell r="G147" t="str">
            <v>None</v>
          </cell>
          <cell r="Q147">
            <v>10000</v>
          </cell>
          <cell r="R147">
            <v>2</v>
          </cell>
          <cell r="S147">
            <v>0.09</v>
          </cell>
        </row>
        <row r="148">
          <cell r="B148" t="str">
            <v>Screw-In CFL, 13 Watt</v>
          </cell>
          <cell r="C148">
            <v>13</v>
          </cell>
          <cell r="D148">
            <v>680</v>
          </cell>
          <cell r="E148" t="str">
            <v>E1</v>
          </cell>
          <cell r="F148">
            <v>3</v>
          </cell>
          <cell r="G148" t="str">
            <v>None</v>
          </cell>
          <cell r="Q148">
            <v>10000</v>
          </cell>
          <cell r="R148">
            <v>2</v>
          </cell>
          <cell r="S148">
            <v>0.09</v>
          </cell>
        </row>
        <row r="149">
          <cell r="B149" t="str">
            <v>Screw-In CFL, 14 Watt</v>
          </cell>
          <cell r="C149">
            <v>14</v>
          </cell>
          <cell r="D149">
            <v>720</v>
          </cell>
          <cell r="E149" t="str">
            <v>E1</v>
          </cell>
          <cell r="F149">
            <v>3</v>
          </cell>
          <cell r="G149" t="str">
            <v>None</v>
          </cell>
          <cell r="Q149">
            <v>10000</v>
          </cell>
          <cell r="R149">
            <v>2</v>
          </cell>
          <cell r="S149">
            <v>0.09</v>
          </cell>
        </row>
        <row r="150">
          <cell r="B150" t="str">
            <v>Screw-In CFL, 15 Watt</v>
          </cell>
          <cell r="C150">
            <v>15</v>
          </cell>
          <cell r="D150">
            <v>791</v>
          </cell>
          <cell r="E150" t="str">
            <v>E1</v>
          </cell>
          <cell r="F150">
            <v>3</v>
          </cell>
          <cell r="G150" t="str">
            <v>None</v>
          </cell>
          <cell r="Q150">
            <v>10000</v>
          </cell>
          <cell r="R150">
            <v>2</v>
          </cell>
          <cell r="S150">
            <v>0.09</v>
          </cell>
        </row>
        <row r="151">
          <cell r="B151" t="str">
            <v>Screw-In CFL, 18 Watt</v>
          </cell>
          <cell r="C151">
            <v>18</v>
          </cell>
          <cell r="D151">
            <v>978</v>
          </cell>
          <cell r="E151" t="str">
            <v>E1</v>
          </cell>
          <cell r="F151">
            <v>3</v>
          </cell>
          <cell r="G151" t="str">
            <v>None</v>
          </cell>
          <cell r="Q151">
            <v>10000</v>
          </cell>
          <cell r="R151">
            <v>2</v>
          </cell>
          <cell r="S151">
            <v>0.09</v>
          </cell>
        </row>
        <row r="152">
          <cell r="B152" t="str">
            <v>Screw-In CFL, 20 Watt</v>
          </cell>
          <cell r="C152">
            <v>20</v>
          </cell>
          <cell r="D152">
            <v>1020</v>
          </cell>
          <cell r="E152" t="str">
            <v>E1</v>
          </cell>
          <cell r="F152">
            <v>3</v>
          </cell>
          <cell r="G152" t="str">
            <v>None</v>
          </cell>
          <cell r="Q152">
            <v>10000</v>
          </cell>
          <cell r="R152">
            <v>2</v>
          </cell>
          <cell r="S152">
            <v>0.09</v>
          </cell>
        </row>
        <row r="153">
          <cell r="B153" t="str">
            <v>Screw-In CFL, 22 - 24 Watt (includes circline)</v>
          </cell>
          <cell r="C153">
            <v>23</v>
          </cell>
          <cell r="D153">
            <v>1190</v>
          </cell>
          <cell r="E153" t="str">
            <v>E1</v>
          </cell>
          <cell r="F153">
            <v>3</v>
          </cell>
          <cell r="G153" t="str">
            <v>None</v>
          </cell>
          <cell r="Q153">
            <v>10000</v>
          </cell>
          <cell r="R153">
            <v>10</v>
          </cell>
          <cell r="S153">
            <v>0.09</v>
          </cell>
        </row>
        <row r="154">
          <cell r="B154" t="str">
            <v>----------------------------</v>
          </cell>
        </row>
        <row r="155">
          <cell r="B155" t="str">
            <v>Screw-In CFL, 25 - 27 Watt</v>
          </cell>
          <cell r="C155">
            <v>26</v>
          </cell>
          <cell r="D155">
            <v>1488</v>
          </cell>
          <cell r="E155" t="str">
            <v>E2</v>
          </cell>
          <cell r="F155">
            <v>6</v>
          </cell>
          <cell r="G155" t="str">
            <v>None</v>
          </cell>
          <cell r="Q155">
            <v>10000</v>
          </cell>
          <cell r="R155">
            <v>3.5</v>
          </cell>
          <cell r="S155">
            <v>0.09</v>
          </cell>
        </row>
        <row r="156">
          <cell r="B156" t="str">
            <v>Screw-In CFL, 28 - 32 Watt (includes circline)</v>
          </cell>
          <cell r="C156">
            <v>30</v>
          </cell>
          <cell r="D156">
            <v>1530</v>
          </cell>
          <cell r="E156" t="str">
            <v>E2</v>
          </cell>
          <cell r="F156">
            <v>6</v>
          </cell>
          <cell r="G156" t="str">
            <v>None</v>
          </cell>
          <cell r="Q156">
            <v>10000</v>
          </cell>
          <cell r="R156">
            <v>3.5</v>
          </cell>
          <cell r="S156">
            <v>0.09</v>
          </cell>
        </row>
        <row r="157">
          <cell r="B157" t="str">
            <v>Screw-In CFL, 35 - 36 Watt (includes circline)</v>
          </cell>
          <cell r="C157">
            <v>36</v>
          </cell>
          <cell r="D157">
            <v>1785</v>
          </cell>
          <cell r="E157" t="str">
            <v>E2</v>
          </cell>
          <cell r="F157">
            <v>6</v>
          </cell>
          <cell r="G157" t="str">
            <v>None</v>
          </cell>
          <cell r="Q157">
            <v>10000</v>
          </cell>
          <cell r="R157">
            <v>6</v>
          </cell>
          <cell r="S157">
            <v>0.09</v>
          </cell>
        </row>
        <row r="158">
          <cell r="B158" t="str">
            <v>Screw-In CFL, 40 - 42 Watt (includes circline)</v>
          </cell>
          <cell r="C158">
            <v>41</v>
          </cell>
          <cell r="D158">
            <v>2380</v>
          </cell>
          <cell r="E158" t="str">
            <v>E2</v>
          </cell>
          <cell r="F158">
            <v>6</v>
          </cell>
          <cell r="G158" t="str">
            <v>None</v>
          </cell>
          <cell r="Q158">
            <v>10000</v>
          </cell>
          <cell r="R158">
            <v>10</v>
          </cell>
          <cell r="S158">
            <v>0.09</v>
          </cell>
        </row>
        <row r="159">
          <cell r="B159" t="str">
            <v>----------------------------</v>
          </cell>
        </row>
        <row r="160">
          <cell r="B160" t="str">
            <v>Screw-In CFL, 55 Watt</v>
          </cell>
          <cell r="C160">
            <v>55</v>
          </cell>
          <cell r="D160">
            <v>2975</v>
          </cell>
          <cell r="E160" t="str">
            <v>E3</v>
          </cell>
          <cell r="F160">
            <v>12</v>
          </cell>
          <cell r="G160" t="str">
            <v>None</v>
          </cell>
          <cell r="Q160">
            <v>10000</v>
          </cell>
          <cell r="R160">
            <v>18</v>
          </cell>
          <cell r="S160">
            <v>0.09</v>
          </cell>
        </row>
        <row r="161">
          <cell r="B161" t="str">
            <v>Screw-In CFL, 65 Watt</v>
          </cell>
          <cell r="C161">
            <v>65</v>
          </cell>
          <cell r="D161">
            <v>3570</v>
          </cell>
          <cell r="E161" t="str">
            <v>E3</v>
          </cell>
          <cell r="F161">
            <v>12</v>
          </cell>
          <cell r="G161" t="str">
            <v>None</v>
          </cell>
          <cell r="Q161">
            <v>10000</v>
          </cell>
          <cell r="R161">
            <v>18</v>
          </cell>
          <cell r="S161">
            <v>0.09</v>
          </cell>
        </row>
        <row r="162">
          <cell r="B162" t="str">
            <v>Screw-In CFL, 75 Watt LuxMagic</v>
          </cell>
          <cell r="C162">
            <v>75</v>
          </cell>
          <cell r="D162">
            <v>5250</v>
          </cell>
          <cell r="E162" t="str">
            <v>E3</v>
          </cell>
          <cell r="F162">
            <v>12</v>
          </cell>
          <cell r="G162" t="str">
            <v>None</v>
          </cell>
          <cell r="Q162">
            <v>10000</v>
          </cell>
          <cell r="R162">
            <v>18</v>
          </cell>
          <cell r="S162">
            <v>0.09</v>
          </cell>
        </row>
        <row r="163">
          <cell r="B163" t="str">
            <v>Screw-In CFL, 85 Watt</v>
          </cell>
          <cell r="C163">
            <v>85</v>
          </cell>
          <cell r="D163">
            <v>4675</v>
          </cell>
          <cell r="E163" t="str">
            <v>E3</v>
          </cell>
          <cell r="F163">
            <v>12</v>
          </cell>
          <cell r="G163" t="str">
            <v>None</v>
          </cell>
          <cell r="Q163">
            <v>10000</v>
          </cell>
          <cell r="R163">
            <v>22</v>
          </cell>
          <cell r="S163">
            <v>0.09</v>
          </cell>
        </row>
        <row r="164">
          <cell r="B164" t="str">
            <v>Screw-In CFL, 100 Watt</v>
          </cell>
          <cell r="C164">
            <v>100</v>
          </cell>
          <cell r="D164">
            <v>5100</v>
          </cell>
          <cell r="E164" t="str">
            <v>E3</v>
          </cell>
          <cell r="F164">
            <v>12</v>
          </cell>
          <cell r="G164" t="str">
            <v>None</v>
          </cell>
          <cell r="Q164">
            <v>10000</v>
          </cell>
          <cell r="R164">
            <v>22</v>
          </cell>
          <cell r="S164">
            <v>0.09</v>
          </cell>
        </row>
        <row r="165">
          <cell r="B165" t="str">
            <v xml:space="preserve">Screw-In CFL, 105 Watt, </v>
          </cell>
          <cell r="C165">
            <v>105</v>
          </cell>
          <cell r="D165">
            <v>5865</v>
          </cell>
          <cell r="E165" t="str">
            <v>E3</v>
          </cell>
          <cell r="F165">
            <v>12</v>
          </cell>
          <cell r="G165" t="str">
            <v>None</v>
          </cell>
          <cell r="Q165">
            <v>10000</v>
          </cell>
          <cell r="R165">
            <v>22</v>
          </cell>
          <cell r="S165">
            <v>0.09</v>
          </cell>
        </row>
        <row r="166">
          <cell r="B166" t="str">
            <v>Screw-In CFL, 125 Watt</v>
          </cell>
          <cell r="C166">
            <v>125</v>
          </cell>
          <cell r="D166">
            <v>6375</v>
          </cell>
          <cell r="E166" t="str">
            <v>E3</v>
          </cell>
          <cell r="F166">
            <v>12</v>
          </cell>
          <cell r="G166" t="str">
            <v>None</v>
          </cell>
          <cell r="Q166">
            <v>10000</v>
          </cell>
          <cell r="R166">
            <v>22</v>
          </cell>
          <cell r="S166">
            <v>0.09</v>
          </cell>
        </row>
        <row r="167">
          <cell r="B167" t="str">
            <v>Screw-In CFL, 150 Watt</v>
          </cell>
          <cell r="C167">
            <v>150</v>
          </cell>
          <cell r="D167">
            <v>7650</v>
          </cell>
          <cell r="E167" t="str">
            <v>E3</v>
          </cell>
          <cell r="F167">
            <v>12</v>
          </cell>
          <cell r="G167" t="str">
            <v>None</v>
          </cell>
          <cell r="Q167">
            <v>10000</v>
          </cell>
          <cell r="R167">
            <v>22</v>
          </cell>
          <cell r="S167">
            <v>0.09</v>
          </cell>
        </row>
        <row r="168">
          <cell r="B168" t="str">
            <v>=================================</v>
          </cell>
        </row>
        <row r="169">
          <cell r="B169" t="str">
            <v>SIGNS and DOWNLIGHTS</v>
          </cell>
        </row>
        <row r="170">
          <cell r="B170" t="str">
            <v>=================================</v>
          </cell>
        </row>
        <row r="171">
          <cell r="B171" t="str">
            <v xml:space="preserve">New LED Exit Sign </v>
          </cell>
          <cell r="C171">
            <v>3</v>
          </cell>
          <cell r="D171">
            <v>2</v>
          </cell>
          <cell r="E171" t="str">
            <v>F1</v>
          </cell>
          <cell r="F171">
            <v>50</v>
          </cell>
          <cell r="G171" t="str">
            <v>includes cold cathode (input appropriate wattage)</v>
          </cell>
          <cell r="Q171">
            <v>100000</v>
          </cell>
          <cell r="R171">
            <v>50</v>
          </cell>
          <cell r="S171">
            <v>0.2</v>
          </cell>
        </row>
        <row r="172">
          <cell r="B172" t="str">
            <v>New LED Exit Sign with battery back-up</v>
          </cell>
          <cell r="C172">
            <v>9</v>
          </cell>
          <cell r="D172">
            <v>2</v>
          </cell>
          <cell r="E172" t="str">
            <v>F1</v>
          </cell>
          <cell r="F172">
            <v>50</v>
          </cell>
          <cell r="G172" t="str">
            <v>None</v>
          </cell>
          <cell r="Q172">
            <v>100000</v>
          </cell>
          <cell r="R172">
            <v>50</v>
          </cell>
          <cell r="S172">
            <v>0.2</v>
          </cell>
        </row>
        <row r="173">
          <cell r="B173" t="str">
            <v>New LED Recessed Downlight or tracklight  (LR6 or equivalent)</v>
          </cell>
          <cell r="C173">
            <v>12</v>
          </cell>
          <cell r="D173">
            <v>650</v>
          </cell>
          <cell r="E173" t="str">
            <v>F2</v>
          </cell>
          <cell r="F173">
            <v>30</v>
          </cell>
          <cell r="G173" t="str">
            <v>CREE LR6 or equivalent</v>
          </cell>
          <cell r="Q173">
            <v>60000</v>
          </cell>
          <cell r="R173">
            <v>95</v>
          </cell>
          <cell r="S173">
            <v>0.2</v>
          </cell>
        </row>
        <row r="174">
          <cell r="B174" t="str">
            <v>New LED 16 Watt "DockLight"</v>
          </cell>
          <cell r="C174">
            <v>16</v>
          </cell>
          <cell r="D174">
            <v>660</v>
          </cell>
          <cell r="E174" t="str">
            <v>F2</v>
          </cell>
          <cell r="F174">
            <v>30</v>
          </cell>
          <cell r="G174" t="str">
            <v>EcoVations or equivalent</v>
          </cell>
          <cell r="Q174">
            <v>60000</v>
          </cell>
          <cell r="R174">
            <v>95</v>
          </cell>
          <cell r="S174">
            <v>0.2</v>
          </cell>
        </row>
        <row r="175">
          <cell r="B175" t="str">
            <v>=================================</v>
          </cell>
        </row>
        <row r="176">
          <cell r="B176" t="str">
            <v>INDUCTION (New Fixture or Retrofit kit)</v>
          </cell>
        </row>
        <row r="177">
          <cell r="B177" t="str">
            <v>=================================</v>
          </cell>
        </row>
        <row r="178">
          <cell r="B178" t="str">
            <v>Induction, 40 Watt lamp</v>
          </cell>
          <cell r="C178">
            <v>41</v>
          </cell>
          <cell r="D178">
            <v>3400</v>
          </cell>
          <cell r="E178" t="str">
            <v>G1</v>
          </cell>
          <cell r="F178">
            <v>80</v>
          </cell>
          <cell r="G178" t="str">
            <v>Great Street &amp; Area lighting option - 100,000 hr life, 5,508 pupil lumens</v>
          </cell>
          <cell r="Q178">
            <v>100000</v>
          </cell>
          <cell r="R178">
            <v>400</v>
          </cell>
          <cell r="S178">
            <v>0.3</v>
          </cell>
        </row>
        <row r="179">
          <cell r="B179" t="str">
            <v>Induction, 55 Watt globe-shaped lamp</v>
          </cell>
          <cell r="C179">
            <v>55</v>
          </cell>
          <cell r="D179">
            <v>2800</v>
          </cell>
          <cell r="E179" t="str">
            <v>G1</v>
          </cell>
          <cell r="F179">
            <v>80</v>
          </cell>
          <cell r="G179" t="str">
            <v>Great Street &amp; Area lighting option - 100,000 hr life</v>
          </cell>
          <cell r="Q179">
            <v>100000</v>
          </cell>
          <cell r="R179">
            <v>400</v>
          </cell>
          <cell r="S179">
            <v>0.3</v>
          </cell>
        </row>
        <row r="180">
          <cell r="B180" t="str">
            <v>Induction, 80 Watt lamp</v>
          </cell>
          <cell r="C180">
            <v>82</v>
          </cell>
          <cell r="D180">
            <v>6800</v>
          </cell>
          <cell r="E180" t="str">
            <v>G1</v>
          </cell>
          <cell r="F180">
            <v>80</v>
          </cell>
          <cell r="G180" t="str">
            <v>Great Street &amp; Area lighting option - 100,000 hr life, 11,016 pupil lumens</v>
          </cell>
          <cell r="Q180">
            <v>100000</v>
          </cell>
          <cell r="R180">
            <v>400</v>
          </cell>
          <cell r="S180">
            <v>0.3</v>
          </cell>
        </row>
        <row r="181">
          <cell r="B181" t="str">
            <v>Induction, 85 Watt globe-shaped lamp</v>
          </cell>
          <cell r="C181">
            <v>85</v>
          </cell>
          <cell r="D181">
            <v>4800</v>
          </cell>
          <cell r="E181" t="str">
            <v>G1</v>
          </cell>
          <cell r="F181">
            <v>80</v>
          </cell>
          <cell r="G181" t="str">
            <v>Great Street &amp; Area lighting option - 100,000 hr life</v>
          </cell>
          <cell r="Q181">
            <v>100000</v>
          </cell>
          <cell r="R181">
            <v>400</v>
          </cell>
          <cell r="S181">
            <v>0.3</v>
          </cell>
        </row>
        <row r="182">
          <cell r="B182" t="str">
            <v xml:space="preserve">Induction, 100 Watt lamp </v>
          </cell>
          <cell r="C182">
            <v>102</v>
          </cell>
          <cell r="D182">
            <v>8500</v>
          </cell>
          <cell r="E182" t="str">
            <v>G2</v>
          </cell>
          <cell r="F182">
            <v>150</v>
          </cell>
          <cell r="G182" t="str">
            <v>Great Street &amp; Area lighting option - 100,000 hr life, 13,770 pupil lumens</v>
          </cell>
          <cell r="Q182">
            <v>100000</v>
          </cell>
          <cell r="R182">
            <v>400</v>
          </cell>
          <cell r="S182">
            <v>0.3</v>
          </cell>
        </row>
        <row r="183">
          <cell r="B183" t="str">
            <v>Induction, Icetron 100 Watt donut-shaped lamp</v>
          </cell>
          <cell r="C183">
            <v>157</v>
          </cell>
          <cell r="D183">
            <v>5920</v>
          </cell>
          <cell r="E183" t="str">
            <v>G2</v>
          </cell>
          <cell r="F183">
            <v>150</v>
          </cell>
          <cell r="G183" t="str">
            <v>Great Street &amp; Area lighting option - 100,000 hr life</v>
          </cell>
          <cell r="Q183">
            <v>100000</v>
          </cell>
          <cell r="R183">
            <v>400</v>
          </cell>
          <cell r="S183">
            <v>0.3</v>
          </cell>
        </row>
        <row r="184">
          <cell r="B184" t="str">
            <v>Induction, 120 Watt Lamp</v>
          </cell>
          <cell r="C184">
            <v>122</v>
          </cell>
          <cell r="D184">
            <v>10200</v>
          </cell>
          <cell r="E184" t="str">
            <v>G2</v>
          </cell>
          <cell r="F184">
            <v>150</v>
          </cell>
          <cell r="G184" t="str">
            <v>Great Street &amp; Area lighting option - 100,000 hr life, 16,524 pupil lumens</v>
          </cell>
          <cell r="Q184">
            <v>60000</v>
          </cell>
          <cell r="R184">
            <v>400</v>
          </cell>
          <cell r="S184">
            <v>0.3</v>
          </cell>
        </row>
        <row r="185">
          <cell r="B185" t="str">
            <v>Induction, 165 Watt globe-shaped lamp</v>
          </cell>
          <cell r="C185">
            <v>165</v>
          </cell>
          <cell r="D185">
            <v>9600</v>
          </cell>
          <cell r="E185" t="str">
            <v>G2</v>
          </cell>
          <cell r="F185">
            <v>150</v>
          </cell>
          <cell r="G185" t="str">
            <v xml:space="preserve">Great Street &amp; Area lighting option - 100,000 hr life </v>
          </cell>
          <cell r="Q185">
            <v>100000</v>
          </cell>
          <cell r="R185">
            <v>400</v>
          </cell>
          <cell r="S185">
            <v>0.3</v>
          </cell>
        </row>
        <row r="186">
          <cell r="B186" t="str">
            <v>Induction, 200 Watt Lamp</v>
          </cell>
          <cell r="C186">
            <v>204</v>
          </cell>
          <cell r="D186">
            <v>17000</v>
          </cell>
          <cell r="E186" t="str">
            <v>G2</v>
          </cell>
          <cell r="F186">
            <v>150</v>
          </cell>
          <cell r="G186" t="str">
            <v>Great Street &amp; Area lighting option - 100,000 hr life, 27,540 pupil lumens</v>
          </cell>
          <cell r="Q186">
            <v>60000</v>
          </cell>
          <cell r="R186">
            <v>400</v>
          </cell>
          <cell r="S186">
            <v>0.3</v>
          </cell>
        </row>
        <row r="187">
          <cell r="B187" t="str">
            <v>Induction, 300 Watt Lamp</v>
          </cell>
          <cell r="C187">
            <v>306</v>
          </cell>
          <cell r="D187">
            <v>26010</v>
          </cell>
          <cell r="E187" t="str">
            <v>G2</v>
          </cell>
          <cell r="F187">
            <v>150</v>
          </cell>
          <cell r="G187" t="str">
            <v>Great Street &amp; Area lighting option - 100,000 hr life, 41,310 pupil lumens</v>
          </cell>
          <cell r="Q187">
            <v>60000</v>
          </cell>
          <cell r="R187">
            <v>400</v>
          </cell>
          <cell r="S187">
            <v>0.3</v>
          </cell>
        </row>
        <row r="188">
          <cell r="B188" t="str">
            <v>Induction, 400 Watt Lamp</v>
          </cell>
          <cell r="C188">
            <v>408</v>
          </cell>
          <cell r="D188">
            <v>34680</v>
          </cell>
          <cell r="E188" t="str">
            <v>G2</v>
          </cell>
          <cell r="F188">
            <v>150</v>
          </cell>
          <cell r="G188" t="str">
            <v>Great Street &amp; Area lighting option - 100,000 hr life, 55,080 pupil lumens</v>
          </cell>
          <cell r="Q188">
            <v>60000</v>
          </cell>
          <cell r="R188">
            <v>400</v>
          </cell>
          <cell r="S188">
            <v>0.3</v>
          </cell>
        </row>
        <row r="189">
          <cell r="B189" t="str">
            <v>=================================</v>
          </cell>
        </row>
        <row r="190">
          <cell r="B190" t="str">
            <v>METAL HALIDE (PULSE-START or ELECTRONIC)  (New Fixture)</v>
          </cell>
        </row>
        <row r="191">
          <cell r="B191" t="str">
            <v>=================================</v>
          </cell>
        </row>
        <row r="192">
          <cell r="B192" t="str">
            <v>Pulse-Start Metal Halide</v>
          </cell>
        </row>
        <row r="193">
          <cell r="B193" t="str">
            <v>----------------------------</v>
          </cell>
        </row>
        <row r="194">
          <cell r="B194" t="str">
            <v>Metal Halide Pulse Start, 200 Watt Lamp</v>
          </cell>
          <cell r="C194">
            <v>232</v>
          </cell>
          <cell r="D194">
            <v>16000</v>
          </cell>
          <cell r="E194" t="str">
            <v>I1</v>
          </cell>
          <cell r="F194">
            <v>150</v>
          </cell>
          <cell r="G194" t="str">
            <v>Consider T5 or T8 technology before recommending this technology, add 50% for pupil lumens</v>
          </cell>
          <cell r="Q194">
            <v>12000</v>
          </cell>
          <cell r="R194">
            <v>31.04</v>
          </cell>
          <cell r="S194">
            <v>0.4</v>
          </cell>
        </row>
        <row r="195">
          <cell r="B195" t="str">
            <v>Metal Halide Pulse Start, 250 Watt Lamp</v>
          </cell>
          <cell r="C195">
            <v>291</v>
          </cell>
          <cell r="D195">
            <v>19000</v>
          </cell>
          <cell r="E195" t="str">
            <v>I1</v>
          </cell>
          <cell r="F195">
            <v>150</v>
          </cell>
          <cell r="G195" t="str">
            <v>Consider T5 or T8 technology before recommending this technology, add 50% for pupil lumens</v>
          </cell>
          <cell r="Q195">
            <v>12000</v>
          </cell>
          <cell r="R195">
            <v>31.04</v>
          </cell>
          <cell r="S195">
            <v>0.4</v>
          </cell>
        </row>
        <row r="196">
          <cell r="B196" t="str">
            <v>Metal Halide Pulse Start, 300 Watt Lamp</v>
          </cell>
          <cell r="C196">
            <v>342</v>
          </cell>
          <cell r="D196">
            <v>24400</v>
          </cell>
          <cell r="E196" t="str">
            <v>I1</v>
          </cell>
          <cell r="F196">
            <v>150</v>
          </cell>
          <cell r="G196" t="str">
            <v>Consider T5 or T8 technology before recommending this technology, add 50% for pupil lumens</v>
          </cell>
          <cell r="Q196">
            <v>20000</v>
          </cell>
          <cell r="R196">
            <v>27.606382978723406</v>
          </cell>
          <cell r="S196">
            <v>0.4</v>
          </cell>
        </row>
        <row r="197">
          <cell r="B197" t="str">
            <v>Metal Halide Pulse Start, 320 Watt Lamp</v>
          </cell>
          <cell r="C197">
            <v>370</v>
          </cell>
          <cell r="D197">
            <v>26400</v>
          </cell>
          <cell r="E197" t="str">
            <v>I1</v>
          </cell>
          <cell r="F197">
            <v>150</v>
          </cell>
          <cell r="G197" t="str">
            <v>Consider T5 or T8 technology before recommending this technology, add 50% for pupil lumens</v>
          </cell>
          <cell r="Q197">
            <v>20000</v>
          </cell>
          <cell r="R197">
            <v>27.606382978723406</v>
          </cell>
          <cell r="S197">
            <v>0.4</v>
          </cell>
        </row>
        <row r="198">
          <cell r="B198" t="str">
            <v>Metal Halide Pulse Start, 350 Watt Lamp</v>
          </cell>
          <cell r="C198">
            <v>400</v>
          </cell>
          <cell r="D198">
            <v>29600</v>
          </cell>
          <cell r="E198" t="str">
            <v>I1</v>
          </cell>
          <cell r="F198">
            <v>150</v>
          </cell>
          <cell r="G198" t="str">
            <v>Consider T5 or T8 technology before recommending this technology, add 50% for pupil lumens</v>
          </cell>
          <cell r="Q198">
            <v>20000</v>
          </cell>
          <cell r="R198">
            <v>27.606382978723406</v>
          </cell>
          <cell r="S198">
            <v>0.4</v>
          </cell>
        </row>
        <row r="199">
          <cell r="B199" t="str">
            <v>Metal Halide Pulse Start, 400 Watt Lamp</v>
          </cell>
          <cell r="C199">
            <v>455</v>
          </cell>
          <cell r="D199">
            <v>31500</v>
          </cell>
          <cell r="E199" t="str">
            <v>I2</v>
          </cell>
          <cell r="F199">
            <v>200</v>
          </cell>
          <cell r="G199" t="str">
            <v>Consider T5 or T8 technology before recommending this technology, add 50% for pupil lumens</v>
          </cell>
          <cell r="Q199">
            <v>20000</v>
          </cell>
          <cell r="R199">
            <v>34.549999999999997</v>
          </cell>
          <cell r="S199">
            <v>0.4</v>
          </cell>
        </row>
        <row r="200">
          <cell r="B200" t="str">
            <v>Metal Halide Pulse Start, 450 Watt Lamp</v>
          </cell>
          <cell r="C200">
            <v>514</v>
          </cell>
          <cell r="D200">
            <v>40000</v>
          </cell>
          <cell r="E200" t="str">
            <v>I2</v>
          </cell>
          <cell r="F200">
            <v>200</v>
          </cell>
          <cell r="G200" t="str">
            <v>Consider T5 or T8 technology before recommending this technology, add 50% for pupil lumens</v>
          </cell>
          <cell r="Q200">
            <v>20000</v>
          </cell>
          <cell r="R200">
            <v>34.549999999999997</v>
          </cell>
          <cell r="S200">
            <v>0.4</v>
          </cell>
        </row>
        <row r="201">
          <cell r="B201" t="str">
            <v>Metal Halide Pulse Start, 750 Watt Lamp</v>
          </cell>
          <cell r="C201">
            <v>818</v>
          </cell>
          <cell r="D201">
            <v>60000</v>
          </cell>
          <cell r="E201" t="str">
            <v>I2</v>
          </cell>
          <cell r="F201">
            <v>200</v>
          </cell>
          <cell r="G201" t="str">
            <v>Consider T5 or T8 technology before recommending this technology, add 50% for pupil lumens</v>
          </cell>
          <cell r="Q201">
            <v>20000</v>
          </cell>
          <cell r="R201">
            <v>62.574468085106382</v>
          </cell>
          <cell r="S201">
            <v>0.4</v>
          </cell>
        </row>
        <row r="202">
          <cell r="B202" t="str">
            <v>Metal Halide Pulse Start, 875 Watt Lamp</v>
          </cell>
          <cell r="C202">
            <v>940</v>
          </cell>
          <cell r="D202">
            <v>80500</v>
          </cell>
          <cell r="E202" t="str">
            <v>I2</v>
          </cell>
          <cell r="F202">
            <v>200</v>
          </cell>
          <cell r="G202" t="str">
            <v>Consider T5 or T8 technology before recommending this technology, add 50% for pupil lumens</v>
          </cell>
          <cell r="Q202">
            <v>20000</v>
          </cell>
          <cell r="R202">
            <v>62.574468085106382</v>
          </cell>
          <cell r="S202">
            <v>0.4</v>
          </cell>
        </row>
        <row r="203">
          <cell r="B203" t="str">
            <v>Metal Halide Pulse Start, 1000 Watt Lamp</v>
          </cell>
          <cell r="C203">
            <v>1080</v>
          </cell>
          <cell r="D203">
            <v>96000</v>
          </cell>
          <cell r="E203" t="str">
            <v>I2</v>
          </cell>
          <cell r="F203">
            <v>200</v>
          </cell>
          <cell r="G203" t="str">
            <v>Consider T5 or T8 technology before recommending this technology, add 50% for pupil lumens</v>
          </cell>
          <cell r="Q203">
            <v>20000</v>
          </cell>
          <cell r="R203">
            <v>62.574468085106382</v>
          </cell>
          <cell r="S203">
            <v>0.4</v>
          </cell>
        </row>
        <row r="204">
          <cell r="B204" t="str">
            <v>----------------------------</v>
          </cell>
        </row>
        <row r="205">
          <cell r="B205" t="str">
            <v>Electronic Metal Halide</v>
          </cell>
        </row>
        <row r="206">
          <cell r="B206" t="str">
            <v>----------------------------</v>
          </cell>
        </row>
        <row r="207">
          <cell r="B207" t="str">
            <v>Metal Halide, 250 Watt Lamp, Electronic Ballast</v>
          </cell>
          <cell r="C207">
            <v>269</v>
          </cell>
          <cell r="D207">
            <v>22865</v>
          </cell>
          <cell r="E207" t="str">
            <v>I1</v>
          </cell>
          <cell r="F207">
            <v>150</v>
          </cell>
          <cell r="G207" t="str">
            <v>Metrolight  Electronic Ballast or equivalent, add 50% for pupil lumens</v>
          </cell>
          <cell r="Q207">
            <v>20000</v>
          </cell>
          <cell r="R207">
            <v>34.549999999999997</v>
          </cell>
          <cell r="S207">
            <v>0.4</v>
          </cell>
        </row>
        <row r="208">
          <cell r="B208" t="str">
            <v>Metal Halide, 320 Watt Lamp, Electronic Ballast</v>
          </cell>
          <cell r="C208">
            <v>344</v>
          </cell>
          <cell r="D208">
            <v>29240</v>
          </cell>
          <cell r="E208" t="str">
            <v>I1</v>
          </cell>
          <cell r="F208">
            <v>150</v>
          </cell>
          <cell r="G208" t="str">
            <v>Metrolight  Electronic Ballast or equivalent, add 50% for pupil lumens</v>
          </cell>
          <cell r="Q208">
            <v>20000</v>
          </cell>
          <cell r="R208">
            <v>34.549999999999997</v>
          </cell>
          <cell r="S208">
            <v>0.4</v>
          </cell>
        </row>
        <row r="209">
          <cell r="B209" t="str">
            <v>Metal Halide, 350 Watt Lamp, Electronic Ballast</v>
          </cell>
          <cell r="C209">
            <v>375</v>
          </cell>
          <cell r="D209">
            <v>31875</v>
          </cell>
          <cell r="E209" t="str">
            <v>I1</v>
          </cell>
          <cell r="F209">
            <v>150</v>
          </cell>
          <cell r="G209" t="str">
            <v>Metrolight  Electronic Ballast or equivalent, add 50% for pupil lumens</v>
          </cell>
          <cell r="Q209">
            <v>20000</v>
          </cell>
          <cell r="R209">
            <v>34.549999999999997</v>
          </cell>
          <cell r="S209">
            <v>0.4</v>
          </cell>
        </row>
        <row r="210">
          <cell r="B210" t="str">
            <v>Metal Halide, 400 Watt Lamp, Electronic Ballast</v>
          </cell>
          <cell r="C210">
            <v>425</v>
          </cell>
          <cell r="D210">
            <v>36120</v>
          </cell>
          <cell r="E210" t="str">
            <v>I2</v>
          </cell>
          <cell r="F210">
            <v>200</v>
          </cell>
          <cell r="G210" t="str">
            <v>Metrolight  Electronic Ballast or equivalent, add 50% for pupil lumens</v>
          </cell>
          <cell r="Q210">
            <v>20000</v>
          </cell>
          <cell r="R210">
            <v>34.549999999999997</v>
          </cell>
          <cell r="S210">
            <v>0.4</v>
          </cell>
        </row>
        <row r="211">
          <cell r="B211" t="str">
            <v>Metal Halide, 450 Watt Lamp, Electronic Ballast</v>
          </cell>
          <cell r="C211">
            <v>478</v>
          </cell>
          <cell r="D211">
            <v>40630</v>
          </cell>
          <cell r="E211" t="str">
            <v>I2</v>
          </cell>
          <cell r="F211">
            <v>200</v>
          </cell>
          <cell r="G211" t="str">
            <v>Metrolight  Electronic Ballast or equivalent, add 50% for pupil lumens</v>
          </cell>
          <cell r="Q211">
            <v>20000</v>
          </cell>
          <cell r="R211">
            <v>34.549999999999997</v>
          </cell>
          <cell r="S211">
            <v>0.4</v>
          </cell>
        </row>
        <row r="212">
          <cell r="B212" t="str">
            <v>=================================</v>
          </cell>
        </row>
        <row r="213">
          <cell r="B213" t="str">
            <v>OCCUPANCY SENSORS, TIMERS, PHOTOCELLS, and CONTROL PANELS</v>
          </cell>
        </row>
        <row r="214">
          <cell r="B214" t="str">
            <v>=================================</v>
          </cell>
        </row>
        <row r="215">
          <cell r="B215" t="str">
            <v>Occupancy Sensor, Timer, Photocell, or Control Panel controlling the above fixtures (50 to 200 watts) (Document by reducing proposed operating hours accordingly)</v>
          </cell>
          <cell r="E215" t="str">
            <v>J1</v>
          </cell>
          <cell r="F215">
            <v>35</v>
          </cell>
          <cell r="Q215" t="str">
            <v>No Default</v>
          </cell>
          <cell r="R215" t="str">
            <v>No Default</v>
          </cell>
          <cell r="S215" t="str">
            <v>No Default</v>
          </cell>
        </row>
        <row r="216">
          <cell r="B216" t="str">
            <v>Occupancy Sensor, Timer, Photocell, or Control Panel controlling the above fixtures (over 200 watts) (Document by reducing proposed operating hours accordingly)</v>
          </cell>
          <cell r="E216" t="str">
            <v>J2</v>
          </cell>
          <cell r="F216">
            <v>60</v>
          </cell>
          <cell r="Q216" t="str">
            <v>No Default</v>
          </cell>
          <cell r="R216" t="str">
            <v>No Default</v>
          </cell>
          <cell r="S216" t="str">
            <v>No Default</v>
          </cell>
        </row>
        <row r="217">
          <cell r="B217" t="str">
            <v>=================================</v>
          </cell>
        </row>
        <row r="218">
          <cell r="B218" t="str">
            <v>Non-Standard Measures</v>
          </cell>
        </row>
        <row r="219">
          <cell r="B219" t="str">
            <v>=================================</v>
          </cell>
        </row>
        <row r="220">
          <cell r="B220" t="str">
            <v>Screw-in LED (1 Watt)</v>
          </cell>
          <cell r="C220">
            <v>1</v>
          </cell>
          <cell r="D220">
            <v>60</v>
          </cell>
          <cell r="E220" t="str">
            <v>M1</v>
          </cell>
          <cell r="F220" t="str">
            <v>call BPA</v>
          </cell>
          <cell r="Q220">
            <v>50000</v>
          </cell>
          <cell r="R220">
            <v>40</v>
          </cell>
          <cell r="S220">
            <v>0.09</v>
          </cell>
        </row>
        <row r="221">
          <cell r="B221" t="str">
            <v>Screw-in LED or cold cathode (3 Watt)</v>
          </cell>
          <cell r="C221">
            <v>3</v>
          </cell>
          <cell r="D221">
            <v>120</v>
          </cell>
          <cell r="E221" t="str">
            <v>M1</v>
          </cell>
          <cell r="F221" t="str">
            <v>call BPA</v>
          </cell>
          <cell r="Q221">
            <v>25000</v>
          </cell>
          <cell r="R221">
            <v>15</v>
          </cell>
          <cell r="S221">
            <v>0.09</v>
          </cell>
        </row>
        <row r="222">
          <cell r="B222" t="str">
            <v>Screw-in LED (4 Watt)</v>
          </cell>
          <cell r="C222">
            <v>4</v>
          </cell>
          <cell r="D222">
            <v>240</v>
          </cell>
          <cell r="E222" t="str">
            <v>M1</v>
          </cell>
          <cell r="F222" t="str">
            <v>call BPA</v>
          </cell>
          <cell r="Q222">
            <v>50000</v>
          </cell>
          <cell r="R222">
            <v>40</v>
          </cell>
          <cell r="S222">
            <v>0.09</v>
          </cell>
        </row>
        <row r="223">
          <cell r="B223" t="str">
            <v>Screw-in LED or cold cathode (5 Watt)</v>
          </cell>
          <cell r="C223">
            <v>5</v>
          </cell>
          <cell r="D223">
            <v>200</v>
          </cell>
          <cell r="E223" t="str">
            <v>M1</v>
          </cell>
          <cell r="F223" t="str">
            <v>call BPA</v>
          </cell>
          <cell r="Q223">
            <v>25000</v>
          </cell>
          <cell r="R223">
            <v>15</v>
          </cell>
          <cell r="S223">
            <v>0.09</v>
          </cell>
        </row>
        <row r="224">
          <cell r="B224" t="str">
            <v>Screw-in LED (6 Watt)</v>
          </cell>
          <cell r="C224">
            <v>6</v>
          </cell>
          <cell r="D224">
            <v>360</v>
          </cell>
          <cell r="E224" t="str">
            <v>M1</v>
          </cell>
          <cell r="F224" t="str">
            <v>call BPA</v>
          </cell>
          <cell r="Q224">
            <v>50000</v>
          </cell>
          <cell r="R224">
            <v>40</v>
          </cell>
          <cell r="S224">
            <v>0.09</v>
          </cell>
        </row>
        <row r="225">
          <cell r="B225" t="str">
            <v>Screw-in LED or cold cathode (8 Watt)</v>
          </cell>
          <cell r="C225">
            <v>8</v>
          </cell>
          <cell r="D225">
            <v>300</v>
          </cell>
          <cell r="E225" t="str">
            <v>M1</v>
          </cell>
          <cell r="F225" t="str">
            <v>call BPA</v>
          </cell>
          <cell r="Q225">
            <v>25000</v>
          </cell>
          <cell r="R225">
            <v>15</v>
          </cell>
          <cell r="S225">
            <v>0.09</v>
          </cell>
        </row>
        <row r="226">
          <cell r="B226" t="str">
            <v>----------------------------</v>
          </cell>
        </row>
        <row r="227">
          <cell r="B227" t="str">
            <v>Screw-in Ceramic Metal Halide (self-ballasted)</v>
          </cell>
          <cell r="C227">
            <v>25</v>
          </cell>
          <cell r="D227">
            <v>1220</v>
          </cell>
          <cell r="E227" t="str">
            <v>M1</v>
          </cell>
          <cell r="F227" t="str">
            <v>call BPA</v>
          </cell>
          <cell r="G227" t="str">
            <v>Great option for retail display lighting - ie. track or recessed can</v>
          </cell>
          <cell r="Q227">
            <v>10500</v>
          </cell>
          <cell r="R227">
            <v>45</v>
          </cell>
          <cell r="S227">
            <v>0.09</v>
          </cell>
        </row>
        <row r="228">
          <cell r="B228" t="str">
            <v>----------------------------</v>
          </cell>
        </row>
        <row r="229">
          <cell r="B229" t="str">
            <v>New LED refrigerator case light  (3 watts per linear foot - input linear feet as quantity)</v>
          </cell>
          <cell r="C229">
            <v>3</v>
          </cell>
          <cell r="D229">
            <v>195</v>
          </cell>
          <cell r="E229" t="str">
            <v>M1</v>
          </cell>
          <cell r="F229" t="str">
            <v>call BPA</v>
          </cell>
          <cell r="G229" t="str">
            <v>Typically replaces T12 HO  4-6'</v>
          </cell>
          <cell r="Q229">
            <v>50000</v>
          </cell>
          <cell r="R229">
            <v>800</v>
          </cell>
          <cell r="S229">
            <v>0.3</v>
          </cell>
        </row>
        <row r="230">
          <cell r="B230" t="str">
            <v>New LED refrigerator case light  (6 watts per linear foot - input linear feet as quantity)</v>
          </cell>
          <cell r="C230">
            <v>6</v>
          </cell>
          <cell r="D230">
            <v>390</v>
          </cell>
          <cell r="E230" t="str">
            <v>M1</v>
          </cell>
          <cell r="F230" t="str">
            <v>call BPA</v>
          </cell>
          <cell r="G230" t="str">
            <v>Typically replaces T12 HO  4-6'</v>
          </cell>
          <cell r="Q230">
            <v>50000</v>
          </cell>
          <cell r="R230">
            <v>800</v>
          </cell>
          <cell r="S230">
            <v>0.3</v>
          </cell>
        </row>
        <row r="231">
          <cell r="B231" t="str">
            <v>New LED channel letter lighting  (1 watts per linear foot - input linear feet as quantity)</v>
          </cell>
          <cell r="C231">
            <v>1</v>
          </cell>
          <cell r="D231">
            <v>65</v>
          </cell>
          <cell r="E231" t="str">
            <v>M1</v>
          </cell>
          <cell r="F231" t="str">
            <v>call BPA</v>
          </cell>
          <cell r="G231" t="str">
            <v>Typically replaces neon or T12 HO</v>
          </cell>
          <cell r="Q231">
            <v>50000</v>
          </cell>
          <cell r="R231">
            <v>800</v>
          </cell>
          <cell r="S231">
            <v>0.3</v>
          </cell>
        </row>
        <row r="232">
          <cell r="B232" t="str">
            <v>New LED channel letter lighting  (2 watts per linear foot - input linear feet as quantity)</v>
          </cell>
          <cell r="C232">
            <v>2</v>
          </cell>
          <cell r="D232">
            <v>130</v>
          </cell>
          <cell r="E232" t="str">
            <v>M1</v>
          </cell>
          <cell r="F232" t="str">
            <v>call BPA</v>
          </cell>
          <cell r="G232" t="str">
            <v>Typically replaces neon or T12 HO</v>
          </cell>
          <cell r="Q232">
            <v>50000</v>
          </cell>
          <cell r="R232">
            <v>800</v>
          </cell>
          <cell r="S232">
            <v>0.3</v>
          </cell>
        </row>
        <row r="233">
          <cell r="B233" t="str">
            <v>----------------------------</v>
          </cell>
        </row>
        <row r="234">
          <cell r="B234" t="str">
            <v>New LED Outdoor Street/Area Light Fixture (28 Watt)</v>
          </cell>
          <cell r="C234">
            <v>28</v>
          </cell>
          <cell r="D234">
            <v>1700</v>
          </cell>
          <cell r="E234" t="str">
            <v>M1</v>
          </cell>
          <cell r="F234" t="str">
            <v>call BPA</v>
          </cell>
          <cell r="G234" t="str">
            <v>Wattage &amp; Lumen values from Beta LED spec sheet</v>
          </cell>
          <cell r="Q234">
            <v>50000</v>
          </cell>
          <cell r="R234">
            <v>800</v>
          </cell>
          <cell r="S234">
            <v>0.3</v>
          </cell>
        </row>
        <row r="235">
          <cell r="B235" t="str">
            <v>New LED Outdoor Street/Area Light Fixture (104 Watt)</v>
          </cell>
          <cell r="C235">
            <v>104</v>
          </cell>
          <cell r="D235">
            <v>6800</v>
          </cell>
          <cell r="E235" t="str">
            <v>M1</v>
          </cell>
          <cell r="F235" t="str">
            <v>call BPA</v>
          </cell>
          <cell r="G235" t="str">
            <v>Wattage &amp; Lumen values from Beta LED spec sheet</v>
          </cell>
          <cell r="Q235">
            <v>50000</v>
          </cell>
          <cell r="R235">
            <v>800</v>
          </cell>
          <cell r="S235">
            <v>0.3</v>
          </cell>
        </row>
        <row r="236">
          <cell r="B236" t="str">
            <v>New LED Outdoor Street/Area Light Fixture (207 Watt)</v>
          </cell>
          <cell r="C236">
            <v>207</v>
          </cell>
          <cell r="D236">
            <v>13600</v>
          </cell>
          <cell r="E236" t="str">
            <v>M1</v>
          </cell>
          <cell r="F236" t="str">
            <v>call BPA</v>
          </cell>
          <cell r="G236" t="str">
            <v>Wattage &amp; Lumen values from Beta LED spec sheet</v>
          </cell>
          <cell r="Q236">
            <v>50000</v>
          </cell>
          <cell r="R236">
            <v>800</v>
          </cell>
          <cell r="S236">
            <v>0.3</v>
          </cell>
        </row>
        <row r="237">
          <cell r="B237" t="str">
            <v>New LED Outdoor Street/Area Light Fixture (306 Watt)</v>
          </cell>
          <cell r="C237">
            <v>306</v>
          </cell>
          <cell r="D237">
            <v>20400</v>
          </cell>
          <cell r="E237" t="str">
            <v>M1</v>
          </cell>
          <cell r="F237" t="str">
            <v>call BPA</v>
          </cell>
          <cell r="G237" t="str">
            <v>Wattage &amp; Lumen values from Beta LED spec sheet</v>
          </cell>
          <cell r="Q237">
            <v>50000</v>
          </cell>
          <cell r="R237">
            <v>800</v>
          </cell>
          <cell r="S237">
            <v>0.3</v>
          </cell>
        </row>
        <row r="238">
          <cell r="B238" t="str">
            <v>----------------------------</v>
          </cell>
        </row>
        <row r="239">
          <cell r="B239" t="str">
            <v>Metal Halide, 50 Watt Lamp, Electronic Ballast</v>
          </cell>
          <cell r="C239">
            <v>56</v>
          </cell>
          <cell r="D239">
            <v>4760</v>
          </cell>
          <cell r="E239" t="str">
            <v>M1</v>
          </cell>
          <cell r="F239" t="str">
            <v>call BPA</v>
          </cell>
          <cell r="G239" t="str">
            <v>Metrolight  Electronic Ballast or equivalent, add 50% for pupil lumens</v>
          </cell>
          <cell r="Q239">
            <v>20000</v>
          </cell>
          <cell r="R239">
            <v>34.549999999999997</v>
          </cell>
          <cell r="S239">
            <v>0.4</v>
          </cell>
        </row>
        <row r="240">
          <cell r="B240" t="str">
            <v>MH Pulse Start, 1-PS 50 Watt Lamp</v>
          </cell>
          <cell r="C240">
            <v>68</v>
          </cell>
          <cell r="D240">
            <v>2100</v>
          </cell>
          <cell r="E240" t="str">
            <v>M1</v>
          </cell>
          <cell r="F240" t="str">
            <v>call BPA</v>
          </cell>
          <cell r="G240" t="str">
            <v>Venture Lighting Catalog, add 50% for pupil lumens</v>
          </cell>
          <cell r="Q240">
            <v>7500</v>
          </cell>
          <cell r="R240">
            <v>26.67</v>
          </cell>
          <cell r="S240">
            <v>0.4</v>
          </cell>
        </row>
        <row r="241">
          <cell r="B241" t="str">
            <v>Metal Halide, 70 Watt Lamp, Electronic Ballast</v>
          </cell>
          <cell r="C241">
            <v>76</v>
          </cell>
          <cell r="D241">
            <v>6460</v>
          </cell>
          <cell r="E241" t="str">
            <v>M1</v>
          </cell>
          <cell r="F241" t="str">
            <v>call BPA</v>
          </cell>
          <cell r="G241" t="str">
            <v>Metrolight  Electronic Ballast or equivalent, add 50% for pupil lumens</v>
          </cell>
          <cell r="Q241">
            <v>20000</v>
          </cell>
          <cell r="R241">
            <v>34.549999999999997</v>
          </cell>
          <cell r="S241">
            <v>0.4</v>
          </cell>
        </row>
        <row r="242">
          <cell r="B242" t="str">
            <v>MH Pulse Start, 1-PS 70 Watt Lamp</v>
          </cell>
          <cell r="C242">
            <v>90</v>
          </cell>
          <cell r="D242">
            <v>3400</v>
          </cell>
          <cell r="E242" t="str">
            <v>M1</v>
          </cell>
          <cell r="F242" t="str">
            <v>call BPA</v>
          </cell>
          <cell r="G242" t="str">
            <v>Venture Lighting Catalog, add 50% for pupil lumens</v>
          </cell>
          <cell r="Q242">
            <v>12000</v>
          </cell>
          <cell r="R242">
            <v>26.67</v>
          </cell>
          <cell r="S242">
            <v>0.4</v>
          </cell>
        </row>
        <row r="243">
          <cell r="B243" t="str">
            <v>Metal Halide, 100 Watt Lamp, Electronic Ballast</v>
          </cell>
          <cell r="C243">
            <v>108</v>
          </cell>
          <cell r="D243">
            <v>9180</v>
          </cell>
          <cell r="E243" t="str">
            <v>M1</v>
          </cell>
          <cell r="F243" t="str">
            <v>call BPA</v>
          </cell>
          <cell r="G243" t="str">
            <v>Metrolight  Electronic Ballast or equivalent, add 50% for pupil lumens</v>
          </cell>
          <cell r="Q243">
            <v>20000</v>
          </cell>
          <cell r="R243">
            <v>34.549999999999997</v>
          </cell>
          <cell r="S243">
            <v>0.4</v>
          </cell>
        </row>
        <row r="244">
          <cell r="B244" t="str">
            <v>MH Pulse Start, 1-PS 100 Watt Lamp</v>
          </cell>
          <cell r="C244">
            <v>125</v>
          </cell>
          <cell r="D244">
            <v>5500</v>
          </cell>
          <cell r="E244" t="str">
            <v>M1</v>
          </cell>
          <cell r="F244" t="str">
            <v>call BPA</v>
          </cell>
          <cell r="G244" t="str">
            <v>Venture Lighting Catalog, add 50% for pupil lumens</v>
          </cell>
          <cell r="Q244">
            <v>12000</v>
          </cell>
          <cell r="R244">
            <v>26.67</v>
          </cell>
          <cell r="S244">
            <v>0.4</v>
          </cell>
        </row>
        <row r="245">
          <cell r="B245" t="str">
            <v>Metal Halide, 150 Watt Lamp, Electronic Ballast</v>
          </cell>
          <cell r="C245">
            <v>158</v>
          </cell>
          <cell r="D245">
            <v>13430</v>
          </cell>
          <cell r="E245" t="str">
            <v>M1</v>
          </cell>
          <cell r="F245" t="str">
            <v>call BPA</v>
          </cell>
          <cell r="G245" t="str">
            <v>Metrolight  Electronic Ballast or equivalent, add 50% for pupil lumens</v>
          </cell>
          <cell r="Q245">
            <v>20000</v>
          </cell>
          <cell r="R245">
            <v>34.549999999999997</v>
          </cell>
          <cell r="S245">
            <v>0.4</v>
          </cell>
        </row>
        <row r="246">
          <cell r="B246" t="str">
            <v>MH Pulse Start, 1-PS 150 Watt Lamp</v>
          </cell>
          <cell r="C246">
            <v>185</v>
          </cell>
          <cell r="D246">
            <v>9500</v>
          </cell>
          <cell r="E246" t="str">
            <v>M1</v>
          </cell>
          <cell r="F246" t="str">
            <v>call BPA</v>
          </cell>
          <cell r="G246" t="str">
            <v>Venture Lighting Catalog, add 50% for pupil lumens</v>
          </cell>
          <cell r="Q246">
            <v>12000</v>
          </cell>
          <cell r="R246">
            <v>28.08</v>
          </cell>
          <cell r="S246">
            <v>0.4</v>
          </cell>
        </row>
        <row r="247">
          <cell r="B247" t="str">
            <v>MH Pulse Start, 1-PS 175 Watt Lamp</v>
          </cell>
          <cell r="C247">
            <v>208</v>
          </cell>
          <cell r="D247">
            <v>14000</v>
          </cell>
          <cell r="E247" t="str">
            <v>M1</v>
          </cell>
          <cell r="F247" t="str">
            <v>call BPA</v>
          </cell>
          <cell r="G247" t="str">
            <v>Venture Lighting Catalog, add 50% for pupil lumens</v>
          </cell>
          <cell r="Q247">
            <v>12000</v>
          </cell>
          <cell r="R247">
            <v>31.04</v>
          </cell>
          <cell r="S247">
            <v>0.4</v>
          </cell>
        </row>
        <row r="248">
          <cell r="B248" t="str">
            <v>----------------------------</v>
          </cell>
        </row>
        <row r="249">
          <cell r="B249" t="str">
            <v>High Pressure Sodium, 35W</v>
          </cell>
          <cell r="C249">
            <v>45</v>
          </cell>
          <cell r="D249">
            <v>1845</v>
          </cell>
          <cell r="E249" t="str">
            <v>M1</v>
          </cell>
          <cell r="F249" t="str">
            <v>call BPA</v>
          </cell>
          <cell r="G249" t="str">
            <v>Hardwired CFL</v>
          </cell>
          <cell r="Q249">
            <v>16000</v>
          </cell>
          <cell r="R249">
            <v>15.72</v>
          </cell>
          <cell r="S249">
            <v>0.4</v>
          </cell>
        </row>
        <row r="250">
          <cell r="B250" t="str">
            <v>High Pressure Sodium, 50W</v>
          </cell>
          <cell r="C250">
            <v>68</v>
          </cell>
          <cell r="D250">
            <v>3280</v>
          </cell>
          <cell r="E250" t="str">
            <v>M1</v>
          </cell>
          <cell r="F250" t="str">
            <v>call BPA</v>
          </cell>
          <cell r="G250" t="str">
            <v>Hardwired CFL</v>
          </cell>
          <cell r="Q250">
            <v>24000</v>
          </cell>
          <cell r="R250">
            <v>15.72</v>
          </cell>
          <cell r="S250">
            <v>0.4</v>
          </cell>
        </row>
        <row r="251">
          <cell r="B251" t="str">
            <v>High Pressure Sodium, 70W</v>
          </cell>
          <cell r="C251">
            <v>86</v>
          </cell>
          <cell r="D251">
            <v>5166</v>
          </cell>
          <cell r="E251" t="str">
            <v>M1</v>
          </cell>
          <cell r="F251" t="str">
            <v>call BPA</v>
          </cell>
          <cell r="G251" t="str">
            <v>Hardwired CFL</v>
          </cell>
          <cell r="Q251">
            <v>24000</v>
          </cell>
          <cell r="R251">
            <v>15.72</v>
          </cell>
          <cell r="S251">
            <v>0.4</v>
          </cell>
        </row>
        <row r="252">
          <cell r="B252" t="str">
            <v>High Pressure Sodium, 100W</v>
          </cell>
          <cell r="C252">
            <v>120</v>
          </cell>
          <cell r="D252">
            <v>7790</v>
          </cell>
          <cell r="E252" t="str">
            <v>M1</v>
          </cell>
          <cell r="F252" t="str">
            <v>call BPA</v>
          </cell>
          <cell r="G252" t="str">
            <v>Hardwired CFL</v>
          </cell>
          <cell r="Q252">
            <v>24000</v>
          </cell>
          <cell r="R252">
            <v>15.72</v>
          </cell>
          <cell r="S252">
            <v>0.4</v>
          </cell>
        </row>
        <row r="253">
          <cell r="B253" t="str">
            <v>High Pressure Sodium, 150W</v>
          </cell>
          <cell r="C253">
            <v>170</v>
          </cell>
          <cell r="D253">
            <v>13120</v>
          </cell>
          <cell r="E253" t="str">
            <v>M1</v>
          </cell>
          <cell r="F253" t="str">
            <v>call BPA</v>
          </cell>
          <cell r="G253" t="str">
            <v>Ceramic Metal Halide, 1-70W, 1-Elec</v>
          </cell>
          <cell r="Q253">
            <v>24000</v>
          </cell>
          <cell r="R253">
            <v>11.89</v>
          </cell>
          <cell r="S253">
            <v>0.4</v>
          </cell>
        </row>
        <row r="254">
          <cell r="B254" t="str">
            <v>High Pressure Sodium, 200W</v>
          </cell>
          <cell r="C254">
            <v>245</v>
          </cell>
          <cell r="D254">
            <v>18040</v>
          </cell>
          <cell r="E254" t="str">
            <v>M1</v>
          </cell>
          <cell r="F254" t="str">
            <v>call BPA</v>
          </cell>
          <cell r="G254" t="str">
            <v>Ceramic Metal Halide, 1-100W, 1-Elec</v>
          </cell>
          <cell r="Q254">
            <v>24000</v>
          </cell>
          <cell r="R254">
            <v>14.24</v>
          </cell>
          <cell r="S254">
            <v>0.4</v>
          </cell>
        </row>
        <row r="255">
          <cell r="B255" t="str">
            <v>High Pressure Sodium, 250W</v>
          </cell>
          <cell r="C255">
            <v>295</v>
          </cell>
          <cell r="D255">
            <v>22550</v>
          </cell>
          <cell r="E255" t="str">
            <v>M1</v>
          </cell>
          <cell r="F255" t="str">
            <v>call BPA</v>
          </cell>
          <cell r="G255" t="str">
            <v>Ceramic Metal Halide, 1-150W, 1-Elec</v>
          </cell>
          <cell r="Q255">
            <v>24000</v>
          </cell>
          <cell r="R255">
            <v>14.24</v>
          </cell>
          <cell r="S255">
            <v>0.4</v>
          </cell>
        </row>
        <row r="256">
          <cell r="B256" t="str">
            <v>High Pressure Sodium, 310W</v>
          </cell>
          <cell r="C256">
            <v>365</v>
          </cell>
          <cell r="D256">
            <v>30340</v>
          </cell>
          <cell r="E256" t="str">
            <v>M1</v>
          </cell>
          <cell r="F256" t="str">
            <v>call BPA</v>
          </cell>
          <cell r="G256" t="str">
            <v>Ceramic Metal Halide, 1-250W, 1-Elec</v>
          </cell>
          <cell r="Q256">
            <v>24000</v>
          </cell>
          <cell r="R256">
            <v>14.24</v>
          </cell>
          <cell r="S256">
            <v>0.4</v>
          </cell>
        </row>
        <row r="257">
          <cell r="B257" t="str">
            <v>High Pressure Sodium, 400W</v>
          </cell>
          <cell r="C257">
            <v>457</v>
          </cell>
          <cell r="D257">
            <v>41000</v>
          </cell>
          <cell r="E257" t="str">
            <v>M1</v>
          </cell>
          <cell r="F257" t="str">
            <v>call BPA</v>
          </cell>
          <cell r="G257" t="str">
            <v>Ceramic Metal Halide, 1-320W, 1-Elec</v>
          </cell>
          <cell r="Q257">
            <v>24000</v>
          </cell>
          <cell r="R257">
            <v>14.24</v>
          </cell>
          <cell r="S257">
            <v>0.4</v>
          </cell>
        </row>
        <row r="258">
          <cell r="B258" t="str">
            <v>----------------------------</v>
          </cell>
        </row>
        <row r="259">
          <cell r="B259" t="str">
            <v>MR-16 or MRC-16 Halogen Display Lamps, 20W</v>
          </cell>
          <cell r="C259">
            <v>20</v>
          </cell>
          <cell r="D259">
            <v>240</v>
          </cell>
          <cell r="E259" t="str">
            <v>M1</v>
          </cell>
          <cell r="F259" t="str">
            <v>call BPA</v>
          </cell>
          <cell r="G259" t="str">
            <v>Ceramic Metal Halide, 1-39W, 1-Elec</v>
          </cell>
          <cell r="Q259" t="str">
            <v>No Default</v>
          </cell>
          <cell r="R259" t="str">
            <v>No Default</v>
          </cell>
          <cell r="S259" t="str">
            <v>No Default</v>
          </cell>
        </row>
        <row r="260">
          <cell r="B260" t="str">
            <v>MR-16 or MRC-16 Halogen Display Lamps, 35W</v>
          </cell>
          <cell r="C260">
            <v>35</v>
          </cell>
          <cell r="D260">
            <v>490</v>
          </cell>
          <cell r="E260" t="str">
            <v>M1</v>
          </cell>
          <cell r="F260" t="str">
            <v>call BPA</v>
          </cell>
          <cell r="G260" t="str">
            <v>Ceramic Metal Halide, 1-39W, 1-Elec</v>
          </cell>
          <cell r="Q260" t="str">
            <v>No Default</v>
          </cell>
          <cell r="R260" t="str">
            <v>No Default</v>
          </cell>
          <cell r="S260" t="str">
            <v>No Default</v>
          </cell>
        </row>
        <row r="261">
          <cell r="B261" t="str">
            <v>MR-16 or MRC-16 Halogen Display Lamps, 40W</v>
          </cell>
          <cell r="C261">
            <v>40</v>
          </cell>
          <cell r="D261">
            <v>600</v>
          </cell>
          <cell r="E261" t="str">
            <v>M1</v>
          </cell>
          <cell r="F261" t="str">
            <v>call BPA</v>
          </cell>
          <cell r="G261" t="str">
            <v>Ceramic Metal Halide, 1-70W, 1-Elec</v>
          </cell>
          <cell r="Q261" t="str">
            <v>No Default</v>
          </cell>
          <cell r="R261" t="str">
            <v>No Default</v>
          </cell>
          <cell r="S261" t="str">
            <v>No Default</v>
          </cell>
        </row>
        <row r="262">
          <cell r="B262" t="str">
            <v>MR-16 or MRC-16 Halogen Display Lamps, 50W</v>
          </cell>
          <cell r="C262">
            <v>50</v>
          </cell>
          <cell r="D262">
            <v>790</v>
          </cell>
          <cell r="E262" t="str">
            <v>M1</v>
          </cell>
          <cell r="F262" t="str">
            <v>call BPA</v>
          </cell>
          <cell r="G262" t="str">
            <v>Ceramic Metal Halide, 1-100W, 1-Elec</v>
          </cell>
          <cell r="Q262" t="str">
            <v>No Default</v>
          </cell>
          <cell r="R262" t="str">
            <v>No Default</v>
          </cell>
          <cell r="S262" t="str">
            <v>No Default</v>
          </cell>
        </row>
        <row r="263">
          <cell r="B263" t="str">
            <v>MR-16 or MRC-16 Halogen Display Lamps, 75W</v>
          </cell>
          <cell r="C263">
            <v>75</v>
          </cell>
          <cell r="D263">
            <v>1320</v>
          </cell>
          <cell r="E263" t="str">
            <v>M1</v>
          </cell>
          <cell r="F263" t="str">
            <v>call BPA</v>
          </cell>
          <cell r="G263" t="str">
            <v>Ceramic Metal Halide, 1-150W, 1-Elec</v>
          </cell>
          <cell r="Q263" t="str">
            <v>No Default</v>
          </cell>
          <cell r="R263" t="str">
            <v>No Default</v>
          </cell>
          <cell r="S263" t="str">
            <v>No Default</v>
          </cell>
        </row>
        <row r="264">
          <cell r="B264" t="str">
            <v>=================================</v>
          </cell>
        </row>
        <row r="265">
          <cell r="B265" t="str">
            <v>ENTER OTHER NON-STANDARD MEASURES BELOW</v>
          </cell>
        </row>
        <row r="266">
          <cell r="B266" t="str">
            <v>=================================</v>
          </cell>
        </row>
        <row r="267">
          <cell r="G267" t="str">
            <v>Explain use of these measures and BPA approval in notes column on site audit tab.</v>
          </cell>
        </row>
        <row r="268">
          <cell r="G268" t="str">
            <v>Explain use of these measures and BPA approval in notes column on site audit tab.</v>
          </cell>
        </row>
        <row r="269">
          <cell r="G269" t="str">
            <v>Explain use of these measures and BPA approval in notes column on site audit tab.</v>
          </cell>
        </row>
        <row r="270">
          <cell r="B270" t="str">
            <v>=================================</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Office_Word_Document1.docx"/><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I57"/>
  <sheetViews>
    <sheetView tabSelected="1" workbookViewId="0">
      <selection activeCell="E2" sqref="E2"/>
    </sheetView>
  </sheetViews>
  <sheetFormatPr defaultRowHeight="15.75"/>
  <cols>
    <col min="1" max="3" width="9.140625" style="212"/>
    <col min="4" max="4" width="13" style="212" customWidth="1"/>
    <col min="5" max="5" width="45.7109375" style="212" customWidth="1"/>
    <col min="6" max="6" width="13.85546875" style="215" customWidth="1"/>
    <col min="7" max="9" width="9.140625" style="215"/>
    <col min="10" max="259" width="9.140625" style="212"/>
    <col min="260" max="260" width="13" style="212" customWidth="1"/>
    <col min="261" max="261" width="45.7109375" style="212" customWidth="1"/>
    <col min="262" max="262" width="13.85546875" style="212" customWidth="1"/>
    <col min="263" max="515" width="9.140625" style="212"/>
    <col min="516" max="516" width="13" style="212" customWidth="1"/>
    <col min="517" max="517" width="45.7109375" style="212" customWidth="1"/>
    <col min="518" max="518" width="13.85546875" style="212" customWidth="1"/>
    <col min="519" max="771" width="9.140625" style="212"/>
    <col min="772" max="772" width="13" style="212" customWidth="1"/>
    <col min="773" max="773" width="45.7109375" style="212" customWidth="1"/>
    <col min="774" max="774" width="13.85546875" style="212" customWidth="1"/>
    <col min="775" max="1027" width="9.140625" style="212"/>
    <col min="1028" max="1028" width="13" style="212" customWidth="1"/>
    <col min="1029" max="1029" width="45.7109375" style="212" customWidth="1"/>
    <col min="1030" max="1030" width="13.85546875" style="212" customWidth="1"/>
    <col min="1031" max="1283" width="9.140625" style="212"/>
    <col min="1284" max="1284" width="13" style="212" customWidth="1"/>
    <col min="1285" max="1285" width="45.7109375" style="212" customWidth="1"/>
    <col min="1286" max="1286" width="13.85546875" style="212" customWidth="1"/>
    <col min="1287" max="1539" width="9.140625" style="212"/>
    <col min="1540" max="1540" width="13" style="212" customWidth="1"/>
    <col min="1541" max="1541" width="45.7109375" style="212" customWidth="1"/>
    <col min="1542" max="1542" width="13.85546875" style="212" customWidth="1"/>
    <col min="1543" max="1795" width="9.140625" style="212"/>
    <col min="1796" max="1796" width="13" style="212" customWidth="1"/>
    <col min="1797" max="1797" width="45.7109375" style="212" customWidth="1"/>
    <col min="1798" max="1798" width="13.85546875" style="212" customWidth="1"/>
    <col min="1799" max="2051" width="9.140625" style="212"/>
    <col min="2052" max="2052" width="13" style="212" customWidth="1"/>
    <col min="2053" max="2053" width="45.7109375" style="212" customWidth="1"/>
    <col min="2054" max="2054" width="13.85546875" style="212" customWidth="1"/>
    <col min="2055" max="2307" width="9.140625" style="212"/>
    <col min="2308" max="2308" width="13" style="212" customWidth="1"/>
    <col min="2309" max="2309" width="45.7109375" style="212" customWidth="1"/>
    <col min="2310" max="2310" width="13.85546875" style="212" customWidth="1"/>
    <col min="2311" max="2563" width="9.140625" style="212"/>
    <col min="2564" max="2564" width="13" style="212" customWidth="1"/>
    <col min="2565" max="2565" width="45.7109375" style="212" customWidth="1"/>
    <col min="2566" max="2566" width="13.85546875" style="212" customWidth="1"/>
    <col min="2567" max="2819" width="9.140625" style="212"/>
    <col min="2820" max="2820" width="13" style="212" customWidth="1"/>
    <col min="2821" max="2821" width="45.7109375" style="212" customWidth="1"/>
    <col min="2822" max="2822" width="13.85546875" style="212" customWidth="1"/>
    <col min="2823" max="3075" width="9.140625" style="212"/>
    <col min="3076" max="3076" width="13" style="212" customWidth="1"/>
    <col min="3077" max="3077" width="45.7109375" style="212" customWidth="1"/>
    <col min="3078" max="3078" width="13.85546875" style="212" customWidth="1"/>
    <col min="3079" max="3331" width="9.140625" style="212"/>
    <col min="3332" max="3332" width="13" style="212" customWidth="1"/>
    <col min="3333" max="3333" width="45.7109375" style="212" customWidth="1"/>
    <col min="3334" max="3334" width="13.85546875" style="212" customWidth="1"/>
    <col min="3335" max="3587" width="9.140625" style="212"/>
    <col min="3588" max="3588" width="13" style="212" customWidth="1"/>
    <col min="3589" max="3589" width="45.7109375" style="212" customWidth="1"/>
    <col min="3590" max="3590" width="13.85546875" style="212" customWidth="1"/>
    <col min="3591" max="3843" width="9.140625" style="212"/>
    <col min="3844" max="3844" width="13" style="212" customWidth="1"/>
    <col min="3845" max="3845" width="45.7109375" style="212" customWidth="1"/>
    <col min="3846" max="3846" width="13.85546875" style="212" customWidth="1"/>
    <col min="3847" max="4099" width="9.140625" style="212"/>
    <col min="4100" max="4100" width="13" style="212" customWidth="1"/>
    <col min="4101" max="4101" width="45.7109375" style="212" customWidth="1"/>
    <col min="4102" max="4102" width="13.85546875" style="212" customWidth="1"/>
    <col min="4103" max="4355" width="9.140625" style="212"/>
    <col min="4356" max="4356" width="13" style="212" customWidth="1"/>
    <col min="4357" max="4357" width="45.7109375" style="212" customWidth="1"/>
    <col min="4358" max="4358" width="13.85546875" style="212" customWidth="1"/>
    <col min="4359" max="4611" width="9.140625" style="212"/>
    <col min="4612" max="4612" width="13" style="212" customWidth="1"/>
    <col min="4613" max="4613" width="45.7109375" style="212" customWidth="1"/>
    <col min="4614" max="4614" width="13.85546875" style="212" customWidth="1"/>
    <col min="4615" max="4867" width="9.140625" style="212"/>
    <col min="4868" max="4868" width="13" style="212" customWidth="1"/>
    <col min="4869" max="4869" width="45.7109375" style="212" customWidth="1"/>
    <col min="4870" max="4870" width="13.85546875" style="212" customWidth="1"/>
    <col min="4871" max="5123" width="9.140625" style="212"/>
    <col min="5124" max="5124" width="13" style="212" customWidth="1"/>
    <col min="5125" max="5125" width="45.7109375" style="212" customWidth="1"/>
    <col min="5126" max="5126" width="13.85546875" style="212" customWidth="1"/>
    <col min="5127" max="5379" width="9.140625" style="212"/>
    <col min="5380" max="5380" width="13" style="212" customWidth="1"/>
    <col min="5381" max="5381" width="45.7109375" style="212" customWidth="1"/>
    <col min="5382" max="5382" width="13.85546875" style="212" customWidth="1"/>
    <col min="5383" max="5635" width="9.140625" style="212"/>
    <col min="5636" max="5636" width="13" style="212" customWidth="1"/>
    <col min="5637" max="5637" width="45.7109375" style="212" customWidth="1"/>
    <col min="5638" max="5638" width="13.85546875" style="212" customWidth="1"/>
    <col min="5639" max="5891" width="9.140625" style="212"/>
    <col min="5892" max="5892" width="13" style="212" customWidth="1"/>
    <col min="5893" max="5893" width="45.7109375" style="212" customWidth="1"/>
    <col min="5894" max="5894" width="13.85546875" style="212" customWidth="1"/>
    <col min="5895" max="6147" width="9.140625" style="212"/>
    <col min="6148" max="6148" width="13" style="212" customWidth="1"/>
    <col min="6149" max="6149" width="45.7109375" style="212" customWidth="1"/>
    <col min="6150" max="6150" width="13.85546875" style="212" customWidth="1"/>
    <col min="6151" max="6403" width="9.140625" style="212"/>
    <col min="6404" max="6404" width="13" style="212" customWidth="1"/>
    <col min="6405" max="6405" width="45.7109375" style="212" customWidth="1"/>
    <col min="6406" max="6406" width="13.85546875" style="212" customWidth="1"/>
    <col min="6407" max="6659" width="9.140625" style="212"/>
    <col min="6660" max="6660" width="13" style="212" customWidth="1"/>
    <col min="6661" max="6661" width="45.7109375" style="212" customWidth="1"/>
    <col min="6662" max="6662" width="13.85546875" style="212" customWidth="1"/>
    <col min="6663" max="6915" width="9.140625" style="212"/>
    <col min="6916" max="6916" width="13" style="212" customWidth="1"/>
    <col min="6917" max="6917" width="45.7109375" style="212" customWidth="1"/>
    <col min="6918" max="6918" width="13.85546875" style="212" customWidth="1"/>
    <col min="6919" max="7171" width="9.140625" style="212"/>
    <col min="7172" max="7172" width="13" style="212" customWidth="1"/>
    <col min="7173" max="7173" width="45.7109375" style="212" customWidth="1"/>
    <col min="7174" max="7174" width="13.85546875" style="212" customWidth="1"/>
    <col min="7175" max="7427" width="9.140625" style="212"/>
    <col min="7428" max="7428" width="13" style="212" customWidth="1"/>
    <col min="7429" max="7429" width="45.7109375" style="212" customWidth="1"/>
    <col min="7430" max="7430" width="13.85546875" style="212" customWidth="1"/>
    <col min="7431" max="7683" width="9.140625" style="212"/>
    <col min="7684" max="7684" width="13" style="212" customWidth="1"/>
    <col min="7685" max="7685" width="45.7109375" style="212" customWidth="1"/>
    <col min="7686" max="7686" width="13.85546875" style="212" customWidth="1"/>
    <col min="7687" max="7939" width="9.140625" style="212"/>
    <col min="7940" max="7940" width="13" style="212" customWidth="1"/>
    <col min="7941" max="7941" width="45.7109375" style="212" customWidth="1"/>
    <col min="7942" max="7942" width="13.85546875" style="212" customWidth="1"/>
    <col min="7943" max="8195" width="9.140625" style="212"/>
    <col min="8196" max="8196" width="13" style="212" customWidth="1"/>
    <col min="8197" max="8197" width="45.7109375" style="212" customWidth="1"/>
    <col min="8198" max="8198" width="13.85546875" style="212" customWidth="1"/>
    <col min="8199" max="8451" width="9.140625" style="212"/>
    <col min="8452" max="8452" width="13" style="212" customWidth="1"/>
    <col min="8453" max="8453" width="45.7109375" style="212" customWidth="1"/>
    <col min="8454" max="8454" width="13.85546875" style="212" customWidth="1"/>
    <col min="8455" max="8707" width="9.140625" style="212"/>
    <col min="8708" max="8708" width="13" style="212" customWidth="1"/>
    <col min="8709" max="8709" width="45.7109375" style="212" customWidth="1"/>
    <col min="8710" max="8710" width="13.85546875" style="212" customWidth="1"/>
    <col min="8711" max="8963" width="9.140625" style="212"/>
    <col min="8964" max="8964" width="13" style="212" customWidth="1"/>
    <col min="8965" max="8965" width="45.7109375" style="212" customWidth="1"/>
    <col min="8966" max="8966" width="13.85546875" style="212" customWidth="1"/>
    <col min="8967" max="9219" width="9.140625" style="212"/>
    <col min="9220" max="9220" width="13" style="212" customWidth="1"/>
    <col min="9221" max="9221" width="45.7109375" style="212" customWidth="1"/>
    <col min="9222" max="9222" width="13.85546875" style="212" customWidth="1"/>
    <col min="9223" max="9475" width="9.140625" style="212"/>
    <col min="9476" max="9476" width="13" style="212" customWidth="1"/>
    <col min="9477" max="9477" width="45.7109375" style="212" customWidth="1"/>
    <col min="9478" max="9478" width="13.85546875" style="212" customWidth="1"/>
    <col min="9479" max="9731" width="9.140625" style="212"/>
    <col min="9732" max="9732" width="13" style="212" customWidth="1"/>
    <col min="9733" max="9733" width="45.7109375" style="212" customWidth="1"/>
    <col min="9734" max="9734" width="13.85546875" style="212" customWidth="1"/>
    <col min="9735" max="9987" width="9.140625" style="212"/>
    <col min="9988" max="9988" width="13" style="212" customWidth="1"/>
    <col min="9989" max="9989" width="45.7109375" style="212" customWidth="1"/>
    <col min="9990" max="9990" width="13.85546875" style="212" customWidth="1"/>
    <col min="9991" max="10243" width="9.140625" style="212"/>
    <col min="10244" max="10244" width="13" style="212" customWidth="1"/>
    <col min="10245" max="10245" width="45.7109375" style="212" customWidth="1"/>
    <col min="10246" max="10246" width="13.85546875" style="212" customWidth="1"/>
    <col min="10247" max="10499" width="9.140625" style="212"/>
    <col min="10500" max="10500" width="13" style="212" customWidth="1"/>
    <col min="10501" max="10501" width="45.7109375" style="212" customWidth="1"/>
    <col min="10502" max="10502" width="13.85546875" style="212" customWidth="1"/>
    <col min="10503" max="10755" width="9.140625" style="212"/>
    <col min="10756" max="10756" width="13" style="212" customWidth="1"/>
    <col min="10757" max="10757" width="45.7109375" style="212" customWidth="1"/>
    <col min="10758" max="10758" width="13.85546875" style="212" customWidth="1"/>
    <col min="10759" max="11011" width="9.140625" style="212"/>
    <col min="11012" max="11012" width="13" style="212" customWidth="1"/>
    <col min="11013" max="11013" width="45.7109375" style="212" customWidth="1"/>
    <col min="11014" max="11014" width="13.85546875" style="212" customWidth="1"/>
    <col min="11015" max="11267" width="9.140625" style="212"/>
    <col min="11268" max="11268" width="13" style="212" customWidth="1"/>
    <col min="11269" max="11269" width="45.7109375" style="212" customWidth="1"/>
    <col min="11270" max="11270" width="13.85546875" style="212" customWidth="1"/>
    <col min="11271" max="11523" width="9.140625" style="212"/>
    <col min="11524" max="11524" width="13" style="212" customWidth="1"/>
    <col min="11525" max="11525" width="45.7109375" style="212" customWidth="1"/>
    <col min="11526" max="11526" width="13.85546875" style="212" customWidth="1"/>
    <col min="11527" max="11779" width="9.140625" style="212"/>
    <col min="11780" max="11780" width="13" style="212" customWidth="1"/>
    <col min="11781" max="11781" width="45.7109375" style="212" customWidth="1"/>
    <col min="11782" max="11782" width="13.85546875" style="212" customWidth="1"/>
    <col min="11783" max="12035" width="9.140625" style="212"/>
    <col min="12036" max="12036" width="13" style="212" customWidth="1"/>
    <col min="12037" max="12037" width="45.7109375" style="212" customWidth="1"/>
    <col min="12038" max="12038" width="13.85546875" style="212" customWidth="1"/>
    <col min="12039" max="12291" width="9.140625" style="212"/>
    <col min="12292" max="12292" width="13" style="212" customWidth="1"/>
    <col min="12293" max="12293" width="45.7109375" style="212" customWidth="1"/>
    <col min="12294" max="12294" width="13.85546875" style="212" customWidth="1"/>
    <col min="12295" max="12547" width="9.140625" style="212"/>
    <col min="12548" max="12548" width="13" style="212" customWidth="1"/>
    <col min="12549" max="12549" width="45.7109375" style="212" customWidth="1"/>
    <col min="12550" max="12550" width="13.85546875" style="212" customWidth="1"/>
    <col min="12551" max="12803" width="9.140625" style="212"/>
    <col min="12804" max="12804" width="13" style="212" customWidth="1"/>
    <col min="12805" max="12805" width="45.7109375" style="212" customWidth="1"/>
    <col min="12806" max="12806" width="13.85546875" style="212" customWidth="1"/>
    <col min="12807" max="13059" width="9.140625" style="212"/>
    <col min="13060" max="13060" width="13" style="212" customWidth="1"/>
    <col min="13061" max="13061" width="45.7109375" style="212" customWidth="1"/>
    <col min="13062" max="13062" width="13.85546875" style="212" customWidth="1"/>
    <col min="13063" max="13315" width="9.140625" style="212"/>
    <col min="13316" max="13316" width="13" style="212" customWidth="1"/>
    <col min="13317" max="13317" width="45.7109375" style="212" customWidth="1"/>
    <col min="13318" max="13318" width="13.85546875" style="212" customWidth="1"/>
    <col min="13319" max="13571" width="9.140625" style="212"/>
    <col min="13572" max="13572" width="13" style="212" customWidth="1"/>
    <col min="13573" max="13573" width="45.7109375" style="212" customWidth="1"/>
    <col min="13574" max="13574" width="13.85546875" style="212" customWidth="1"/>
    <col min="13575" max="13827" width="9.140625" style="212"/>
    <col min="13828" max="13828" width="13" style="212" customWidth="1"/>
    <col min="13829" max="13829" width="45.7109375" style="212" customWidth="1"/>
    <col min="13830" max="13830" width="13.85546875" style="212" customWidth="1"/>
    <col min="13831" max="14083" width="9.140625" style="212"/>
    <col min="14084" max="14084" width="13" style="212" customWidth="1"/>
    <col min="14085" max="14085" width="45.7109375" style="212" customWidth="1"/>
    <col min="14086" max="14086" width="13.85546875" style="212" customWidth="1"/>
    <col min="14087" max="14339" width="9.140625" style="212"/>
    <col min="14340" max="14340" width="13" style="212" customWidth="1"/>
    <col min="14341" max="14341" width="45.7109375" style="212" customWidth="1"/>
    <col min="14342" max="14342" width="13.85546875" style="212" customWidth="1"/>
    <col min="14343" max="14595" width="9.140625" style="212"/>
    <col min="14596" max="14596" width="13" style="212" customWidth="1"/>
    <col min="14597" max="14597" width="45.7109375" style="212" customWidth="1"/>
    <col min="14598" max="14598" width="13.85546875" style="212" customWidth="1"/>
    <col min="14599" max="14851" width="9.140625" style="212"/>
    <col min="14852" max="14852" width="13" style="212" customWidth="1"/>
    <col min="14853" max="14853" width="45.7109375" style="212" customWidth="1"/>
    <col min="14854" max="14854" width="13.85546875" style="212" customWidth="1"/>
    <col min="14855" max="15107" width="9.140625" style="212"/>
    <col min="15108" max="15108" width="13" style="212" customWidth="1"/>
    <col min="15109" max="15109" width="45.7109375" style="212" customWidth="1"/>
    <col min="15110" max="15110" width="13.85546875" style="212" customWidth="1"/>
    <col min="15111" max="15363" width="9.140625" style="212"/>
    <col min="15364" max="15364" width="13" style="212" customWidth="1"/>
    <col min="15365" max="15365" width="45.7109375" style="212" customWidth="1"/>
    <col min="15366" max="15366" width="13.85546875" style="212" customWidth="1"/>
    <col min="15367" max="15619" width="9.140625" style="212"/>
    <col min="15620" max="15620" width="13" style="212" customWidth="1"/>
    <col min="15621" max="15621" width="45.7109375" style="212" customWidth="1"/>
    <col min="15622" max="15622" width="13.85546875" style="212" customWidth="1"/>
    <col min="15623" max="15875" width="9.140625" style="212"/>
    <col min="15876" max="15876" width="13" style="212" customWidth="1"/>
    <col min="15877" max="15877" width="45.7109375" style="212" customWidth="1"/>
    <col min="15878" max="15878" width="13.85546875" style="212" customWidth="1"/>
    <col min="15879" max="16131" width="9.140625" style="212"/>
    <col min="16132" max="16132" width="13" style="212" customWidth="1"/>
    <col min="16133" max="16133" width="45.7109375" style="212" customWidth="1"/>
    <col min="16134" max="16134" width="13.85546875" style="212" customWidth="1"/>
    <col min="16135" max="16384" width="9.140625" style="212"/>
  </cols>
  <sheetData>
    <row r="1" spans="1:9">
      <c r="D1" s="213" t="s">
        <v>176</v>
      </c>
      <c r="E1" s="214"/>
    </row>
    <row r="2" spans="1:9">
      <c r="A2" s="216"/>
      <c r="B2" s="216"/>
      <c r="C2" s="216"/>
      <c r="D2" s="217" t="s">
        <v>177</v>
      </c>
      <c r="E2" s="114"/>
      <c r="F2" s="218" t="s">
        <v>178</v>
      </c>
      <c r="G2" s="218"/>
      <c r="H2" s="218"/>
      <c r="I2" s="218"/>
    </row>
    <row r="3" spans="1:9">
      <c r="A3" s="216"/>
      <c r="B3" s="216"/>
      <c r="C3" s="216"/>
      <c r="D3" s="217" t="s">
        <v>32</v>
      </c>
      <c r="E3" s="115"/>
      <c r="F3" s="218"/>
      <c r="G3" s="218"/>
      <c r="H3" s="218"/>
      <c r="I3" s="218"/>
    </row>
    <row r="4" spans="1:9">
      <c r="A4" s="219"/>
      <c r="D4" s="217" t="s">
        <v>33</v>
      </c>
      <c r="E4" s="238">
        <f>Data!A8</f>
        <v>3</v>
      </c>
      <c r="F4" s="220"/>
    </row>
    <row r="5" spans="1:9">
      <c r="A5" s="216"/>
      <c r="B5" s="216"/>
      <c r="C5" s="216"/>
      <c r="D5" s="116" t="s">
        <v>179</v>
      </c>
      <c r="E5" s="239">
        <v>19</v>
      </c>
      <c r="F5" s="218"/>
      <c r="G5" s="218"/>
      <c r="H5" s="218"/>
      <c r="I5" s="218"/>
    </row>
    <row r="6" spans="1:9">
      <c r="A6" s="216"/>
      <c r="B6" s="216"/>
      <c r="C6" s="216"/>
      <c r="D6" s="116" t="s">
        <v>180</v>
      </c>
      <c r="E6" s="239">
        <v>1</v>
      </c>
      <c r="F6" s="218"/>
      <c r="G6" s="218"/>
      <c r="H6" s="218"/>
      <c r="I6" s="218"/>
    </row>
    <row r="7" spans="1:9">
      <c r="A7" s="219"/>
      <c r="B7" s="219"/>
      <c r="C7" s="219"/>
      <c r="D7" s="217" t="s">
        <v>35</v>
      </c>
      <c r="E7" s="115"/>
      <c r="F7" s="220"/>
      <c r="G7" s="212"/>
      <c r="H7" s="220"/>
      <c r="I7" s="220"/>
    </row>
    <row r="8" spans="1:9">
      <c r="A8" s="219"/>
      <c r="B8" s="219"/>
      <c r="C8" s="219"/>
      <c r="D8" s="217" t="s">
        <v>36</v>
      </c>
      <c r="E8" s="115"/>
      <c r="F8" s="220"/>
      <c r="G8" s="212"/>
      <c r="H8" s="220"/>
    </row>
    <row r="9" spans="1:9">
      <c r="A9" s="219"/>
      <c r="B9" s="219"/>
      <c r="C9" s="219"/>
      <c r="D9" s="217" t="s">
        <v>37</v>
      </c>
      <c r="E9" s="115"/>
      <c r="F9" s="220"/>
      <c r="G9" s="220"/>
      <c r="H9" s="220"/>
      <c r="I9" s="220"/>
    </row>
    <row r="10" spans="1:9">
      <c r="A10" s="219"/>
      <c r="B10" s="219"/>
      <c r="C10" s="219"/>
      <c r="D10" s="217" t="s">
        <v>38</v>
      </c>
      <c r="E10" s="117"/>
      <c r="F10" s="220"/>
      <c r="G10" s="220"/>
      <c r="H10" s="220"/>
    </row>
    <row r="11" spans="1:9">
      <c r="A11" s="216"/>
      <c r="B11" s="216"/>
      <c r="C11" s="219"/>
      <c r="D11" s="217" t="s">
        <v>39</v>
      </c>
      <c r="E11" s="118"/>
    </row>
    <row r="12" spans="1:9">
      <c r="A12" s="219"/>
      <c r="D12" s="217" t="s">
        <v>40</v>
      </c>
      <c r="E12" s="119"/>
      <c r="F12" s="220"/>
    </row>
    <row r="13" spans="1:9">
      <c r="A13" s="219"/>
      <c r="B13" s="219"/>
      <c r="C13" s="219"/>
      <c r="D13" s="217" t="s">
        <v>41</v>
      </c>
      <c r="E13" s="118"/>
    </row>
    <row r="14" spans="1:9">
      <c r="F14" s="220"/>
      <c r="G14" s="220"/>
      <c r="H14" s="220"/>
    </row>
    <row r="15" spans="1:9">
      <c r="D15" s="221" t="s">
        <v>42</v>
      </c>
    </row>
    <row r="16" spans="1:9">
      <c r="A16" s="219"/>
      <c r="B16" s="219"/>
      <c r="C16" s="219"/>
      <c r="D16" s="217" t="s">
        <v>43</v>
      </c>
      <c r="E16" s="118" t="str">
        <f>IF(E3=0,"",E3)</f>
        <v/>
      </c>
      <c r="G16" s="220"/>
      <c r="H16" s="220"/>
    </row>
    <row r="17" spans="1:6">
      <c r="A17" s="219"/>
      <c r="B17" s="219"/>
      <c r="C17" s="219"/>
      <c r="D17" s="217" t="s">
        <v>44</v>
      </c>
      <c r="E17" s="118" t="str">
        <f>IF(E7=0,"",E7)</f>
        <v/>
      </c>
    </row>
    <row r="18" spans="1:6">
      <c r="A18" s="219"/>
      <c r="B18" s="219"/>
      <c r="D18" s="217" t="s">
        <v>45</v>
      </c>
      <c r="E18" s="118" t="str">
        <f>IF(E8=0,"",E8)</f>
        <v/>
      </c>
    </row>
    <row r="20" spans="1:6">
      <c r="D20" s="217" t="s">
        <v>329</v>
      </c>
      <c r="E20" s="120"/>
      <c r="F20" s="218" t="s">
        <v>330</v>
      </c>
    </row>
    <row r="21" spans="1:6">
      <c r="C21" s="213"/>
    </row>
    <row r="22" spans="1:6">
      <c r="D22" s="213" t="s">
        <v>48</v>
      </c>
      <c r="E22" s="214">
        <f>Data!G8</f>
        <v>289014</v>
      </c>
    </row>
    <row r="23" spans="1:6">
      <c r="D23" s="213" t="s">
        <v>49</v>
      </c>
      <c r="E23" s="214">
        <v>556000</v>
      </c>
    </row>
    <row r="24" spans="1:6" s="223" customFormat="1">
      <c r="A24" s="222"/>
      <c r="B24" s="222"/>
      <c r="D24" s="213" t="s">
        <v>137</v>
      </c>
      <c r="E24" s="224"/>
    </row>
    <row r="25" spans="1:6">
      <c r="D25" s="213" t="s">
        <v>181</v>
      </c>
      <c r="E25" s="214"/>
    </row>
    <row r="26" spans="1:6">
      <c r="D26" s="213" t="s">
        <v>182</v>
      </c>
      <c r="E26" s="214"/>
    </row>
    <row r="28" spans="1:6">
      <c r="D28" s="213" t="s">
        <v>176</v>
      </c>
      <c r="E28" s="214" t="str">
        <f>IF(E1="","",E1)</f>
        <v/>
      </c>
    </row>
    <row r="29" spans="1:6">
      <c r="C29" s="217" t="s">
        <v>183</v>
      </c>
      <c r="D29" s="225">
        <v>0</v>
      </c>
      <c r="E29" s="226" t="s">
        <v>171</v>
      </c>
    </row>
    <row r="30" spans="1:6">
      <c r="C30" s="217" t="s">
        <v>184</v>
      </c>
      <c r="D30" s="225">
        <v>0</v>
      </c>
      <c r="E30" s="226" t="s">
        <v>23</v>
      </c>
    </row>
    <row r="31" spans="1:6">
      <c r="C31" s="217" t="s">
        <v>185</v>
      </c>
      <c r="D31" s="227" t="str">
        <f>Application!F24</f>
        <v/>
      </c>
    </row>
    <row r="32" spans="1:6">
      <c r="B32" s="228"/>
      <c r="C32" s="229" t="s">
        <v>186</v>
      </c>
      <c r="D32" s="230">
        <f>Application!F26</f>
        <v>0</v>
      </c>
      <c r="E32" s="228"/>
    </row>
    <row r="33" spans="2:5">
      <c r="C33" s="217" t="s">
        <v>187</v>
      </c>
      <c r="D33" s="225">
        <f>'Evap Fan VFDs'!G32+'Evap Fan VFDs'!G43</f>
        <v>0</v>
      </c>
      <c r="E33" s="226" t="s">
        <v>23</v>
      </c>
    </row>
    <row r="34" spans="2:5">
      <c r="C34" s="217" t="s">
        <v>188</v>
      </c>
      <c r="D34" s="225">
        <f>D33*1.0288</f>
        <v>0</v>
      </c>
      <c r="E34" s="226" t="s">
        <v>23</v>
      </c>
    </row>
    <row r="35" spans="2:5">
      <c r="B35" s="228"/>
      <c r="C35" s="231" t="s">
        <v>189</v>
      </c>
      <c r="D35" s="232">
        <f>Data!E8</f>
        <v>0.13</v>
      </c>
      <c r="E35" s="228" t="str">
        <f>"$/kWh/year"</f>
        <v>$/kWh/year</v>
      </c>
    </row>
    <row r="36" spans="2:5">
      <c r="C36" s="213" t="s">
        <v>46</v>
      </c>
      <c r="D36" s="233">
        <f>Application!E25</f>
        <v>0</v>
      </c>
    </row>
    <row r="37" spans="2:5">
      <c r="C37" s="213" t="s">
        <v>47</v>
      </c>
      <c r="D37" s="233">
        <f>D36</f>
        <v>0</v>
      </c>
    </row>
    <row r="38" spans="2:5">
      <c r="C38" s="213"/>
    </row>
    <row r="39" spans="2:5">
      <c r="D39" s="234" t="s">
        <v>190</v>
      </c>
    </row>
    <row r="40" spans="2:5">
      <c r="D40" s="213" t="s">
        <v>191</v>
      </c>
      <c r="E40" s="214" t="str">
        <f>Data!F8</f>
        <v>Commercial</v>
      </c>
    </row>
    <row r="41" spans="2:5">
      <c r="D41" s="116" t="s">
        <v>192</v>
      </c>
      <c r="E41" s="214" t="s">
        <v>217</v>
      </c>
    </row>
    <row r="42" spans="2:5">
      <c r="D42" s="116" t="s">
        <v>193</v>
      </c>
      <c r="E42" s="214" t="s">
        <v>219</v>
      </c>
    </row>
    <row r="43" spans="2:5">
      <c r="D43" s="116" t="s">
        <v>194</v>
      </c>
      <c r="E43" s="214" t="s">
        <v>218</v>
      </c>
    </row>
    <row r="44" spans="2:5">
      <c r="D44" s="116" t="s">
        <v>195</v>
      </c>
      <c r="E44" s="214" t="s">
        <v>196</v>
      </c>
    </row>
    <row r="45" spans="2:5">
      <c r="D45" s="116" t="s">
        <v>197</v>
      </c>
      <c r="E45" s="214" t="s">
        <v>8</v>
      </c>
    </row>
    <row r="46" spans="2:5">
      <c r="D46" s="116" t="s">
        <v>198</v>
      </c>
      <c r="E46" s="214" t="s">
        <v>199</v>
      </c>
    </row>
    <row r="47" spans="2:5">
      <c r="D47" s="116" t="s">
        <v>200</v>
      </c>
      <c r="E47" s="214">
        <v>15</v>
      </c>
    </row>
    <row r="48" spans="2:5">
      <c r="D48" s="116" t="s">
        <v>201</v>
      </c>
      <c r="E48" s="214" t="s">
        <v>220</v>
      </c>
    </row>
    <row r="49" spans="4:5">
      <c r="D49" s="116" t="s">
        <v>202</v>
      </c>
      <c r="E49" s="235">
        <f>D33</f>
        <v>0</v>
      </c>
    </row>
    <row r="50" spans="4:5">
      <c r="D50" s="116" t="s">
        <v>203</v>
      </c>
      <c r="E50" s="214"/>
    </row>
    <row r="51" spans="4:5">
      <c r="D51" s="116" t="s">
        <v>204</v>
      </c>
      <c r="E51" s="214" t="s">
        <v>205</v>
      </c>
    </row>
    <row r="52" spans="4:5">
      <c r="D52" s="116" t="s">
        <v>206</v>
      </c>
      <c r="E52" s="214" t="s">
        <v>207</v>
      </c>
    </row>
    <row r="53" spans="4:5">
      <c r="D53" s="116" t="s">
        <v>208</v>
      </c>
      <c r="E53" s="214" t="s">
        <v>209</v>
      </c>
    </row>
    <row r="54" spans="4:5">
      <c r="D54" s="116" t="s">
        <v>210</v>
      </c>
      <c r="E54" s="214">
        <f>E22</f>
        <v>289014</v>
      </c>
    </row>
    <row r="55" spans="4:5">
      <c r="D55" s="116" t="s">
        <v>211</v>
      </c>
      <c r="E55" s="214">
        <f>E23</f>
        <v>556000</v>
      </c>
    </row>
    <row r="56" spans="4:5">
      <c r="D56" s="116" t="s">
        <v>212</v>
      </c>
      <c r="E56" s="236">
        <f ca="1">NOW()</f>
        <v>41332.579857986108</v>
      </c>
    </row>
    <row r="57" spans="4:5">
      <c r="D57" s="116" t="s">
        <v>213</v>
      </c>
      <c r="E57" s="237">
        <v>0</v>
      </c>
    </row>
  </sheetData>
  <sheetProtection sheet="1" objects="1" scenarios="1"/>
  <pageMargins left="0.7" right="0.7" top="0.75" bottom="0.75" header="0.3" footer="0.3"/>
  <pageSetup orientation="portrait" r:id="rId1"/>
  <headerFooter alignWithMargins="0">
    <oddHeader>&amp;C&amp;"Arial,Bold"Summary Sheet of Input and Results&amp;RVersion 5/18/10</oddHeader>
  </headerFooter>
  <legacyDrawing r:id="rId2"/>
</worksheet>
</file>

<file path=xl/worksheets/sheet2.xml><?xml version="1.0" encoding="utf-8"?>
<worksheet xmlns="http://schemas.openxmlformats.org/spreadsheetml/2006/main" xmlns:r="http://schemas.openxmlformats.org/officeDocument/2006/relationships">
  <sheetPr codeName="Sheet3">
    <pageSetUpPr fitToPage="1"/>
  </sheetPr>
  <dimension ref="A1:W121"/>
  <sheetViews>
    <sheetView workbookViewId="0">
      <pane xSplit="2" topLeftCell="C1" activePane="topRight" state="frozen"/>
      <selection activeCell="E2" sqref="E2"/>
      <selection pane="topRight" activeCell="A6" sqref="A6:A7"/>
    </sheetView>
  </sheetViews>
  <sheetFormatPr defaultRowHeight="15"/>
  <cols>
    <col min="1" max="1" width="26.42578125" customWidth="1"/>
    <col min="2" max="2" width="11.28515625" customWidth="1"/>
    <col min="3" max="4" width="8.85546875" customWidth="1"/>
    <col min="5" max="5" width="10.5703125" customWidth="1"/>
    <col min="6" max="6" width="12.28515625" customWidth="1"/>
    <col min="7" max="7" width="12" style="5" customWidth="1"/>
    <col min="8" max="8" width="11.140625" customWidth="1"/>
    <col min="9" max="9" width="9" customWidth="1"/>
    <col min="10" max="10" width="12.140625" customWidth="1"/>
    <col min="11" max="11" width="10.42578125" customWidth="1"/>
    <col min="12" max="12" width="11.28515625" customWidth="1"/>
    <col min="13" max="13" width="10.5703125" customWidth="1"/>
    <col min="14" max="14" width="14.28515625" style="5" bestFit="1" customWidth="1"/>
    <col min="15" max="15" width="14" customWidth="1"/>
    <col min="16" max="16" width="11.140625" customWidth="1"/>
    <col min="17" max="17" width="11" customWidth="1"/>
    <col min="18" max="18" width="9.5703125" bestFit="1" customWidth="1"/>
    <col min="19" max="19" width="11.140625" bestFit="1" customWidth="1"/>
    <col min="20" max="21" width="12.140625" customWidth="1"/>
  </cols>
  <sheetData>
    <row r="1" spans="1:17" ht="18.75" customHeight="1">
      <c r="A1" s="39" t="s">
        <v>0</v>
      </c>
      <c r="B1" s="2">
        <f>CustMeas!E3</f>
        <v>0</v>
      </c>
      <c r="C1" s="2"/>
      <c r="E1" s="3"/>
      <c r="G1" s="4"/>
    </row>
    <row r="2" spans="1:17" ht="18.75" customHeight="1">
      <c r="A2" s="39" t="s">
        <v>90</v>
      </c>
      <c r="B2" s="2">
        <f>CustMeas!E2</f>
        <v>0</v>
      </c>
      <c r="C2" s="2"/>
      <c r="E2" s="3"/>
      <c r="G2" s="4"/>
    </row>
    <row r="3" spans="1:17" ht="18.75" customHeight="1">
      <c r="A3" s="39" t="s">
        <v>2</v>
      </c>
      <c r="B3" s="41" t="str">
        <f>CustMeas!E9 &amp; ", " &amp; CustMeas!E11</f>
        <v xml:space="preserve">, </v>
      </c>
      <c r="C3" s="41"/>
      <c r="E3" s="3"/>
      <c r="G3"/>
      <c r="N3"/>
    </row>
    <row r="4" spans="1:17" ht="18.75" customHeight="1">
      <c r="A4" s="54" t="s">
        <v>105</v>
      </c>
      <c r="B4" s="41"/>
      <c r="C4" s="41"/>
      <c r="E4" s="3"/>
      <c r="G4"/>
      <c r="N4"/>
    </row>
    <row r="5" spans="1:17" s="6" customFormat="1" ht="80.25" customHeight="1">
      <c r="A5" s="7" t="s">
        <v>93</v>
      </c>
      <c r="B5" s="7" t="s">
        <v>91</v>
      </c>
      <c r="C5" s="7" t="s">
        <v>5</v>
      </c>
      <c r="D5" s="7" t="s">
        <v>92</v>
      </c>
      <c r="E5" s="7" t="s">
        <v>6</v>
      </c>
      <c r="F5" s="7" t="s">
        <v>7</v>
      </c>
      <c r="G5" s="46" t="s">
        <v>107</v>
      </c>
      <c r="H5" s="46" t="s">
        <v>94</v>
      </c>
      <c r="I5" s="46" t="s">
        <v>97</v>
      </c>
      <c r="J5" s="7" t="s">
        <v>95</v>
      </c>
      <c r="K5" s="7" t="s">
        <v>96</v>
      </c>
      <c r="L5" s="7" t="s">
        <v>102</v>
      </c>
      <c r="M5" s="7" t="s">
        <v>98</v>
      </c>
      <c r="N5" s="7" t="s">
        <v>99</v>
      </c>
      <c r="O5" s="7" t="s">
        <v>100</v>
      </c>
      <c r="P5" s="7" t="s">
        <v>101</v>
      </c>
      <c r="Q5" s="7" t="s">
        <v>103</v>
      </c>
    </row>
    <row r="6" spans="1:17">
      <c r="A6" s="210"/>
      <c r="B6" s="10" t="s">
        <v>8</v>
      </c>
      <c r="C6" s="10" t="s">
        <v>9</v>
      </c>
      <c r="D6" s="211"/>
      <c r="E6" s="42" t="str">
        <f t="shared" ref="E6:E30" si="0">IF(D6="","",VLOOKUP(D6,$A$50:$B$59,2,)*1.08)</f>
        <v/>
      </c>
      <c r="F6" s="55" t="str">
        <f>IF(D6="","",VALUE("$" &amp; FIXED(E6*0.65,0)))</f>
        <v/>
      </c>
      <c r="G6" s="56">
        <f t="shared" ref="G6:G30" si="1">D6*H$55</f>
        <v>0</v>
      </c>
      <c r="H6" s="177"/>
      <c r="I6" s="47"/>
      <c r="J6" s="173"/>
      <c r="K6" s="174"/>
      <c r="L6" s="44" t="str">
        <f>IF(H6="","",H6*(K6-J6)*24)</f>
        <v/>
      </c>
      <c r="M6" s="45"/>
      <c r="N6" s="45"/>
      <c r="O6" s="45"/>
      <c r="P6" s="30"/>
      <c r="Q6" s="30"/>
    </row>
    <row r="7" spans="1:17">
      <c r="A7" s="210"/>
      <c r="B7" s="9" t="s">
        <v>8</v>
      </c>
      <c r="C7" s="10" t="s">
        <v>9</v>
      </c>
      <c r="D7" s="211"/>
      <c r="E7" s="42" t="str">
        <f t="shared" si="0"/>
        <v/>
      </c>
      <c r="F7" s="55" t="str">
        <f t="shared" ref="F7:F23" si="2">IF(D7="","",VALUE("$" &amp; FIXED(E7*0.65,0)))</f>
        <v/>
      </c>
      <c r="G7" s="56">
        <f t="shared" ref="G7:G23" si="3">D7*H$55</f>
        <v>0</v>
      </c>
      <c r="H7" s="178"/>
      <c r="I7" s="48"/>
      <c r="J7" s="175"/>
      <c r="K7" s="176"/>
      <c r="L7" s="40" t="str">
        <f t="shared" ref="L7:L23" si="4">IF(H7="","",H7*(K7-J7)*24)</f>
        <v/>
      </c>
      <c r="M7" s="30"/>
      <c r="N7" s="30"/>
      <c r="O7" s="30"/>
      <c r="P7" s="30"/>
      <c r="Q7" s="30"/>
    </row>
    <row r="8" spans="1:17">
      <c r="A8" s="210"/>
      <c r="B8" s="9" t="s">
        <v>8</v>
      </c>
      <c r="C8" s="10" t="s">
        <v>9</v>
      </c>
      <c r="D8" s="211"/>
      <c r="E8" s="42" t="str">
        <f t="shared" si="0"/>
        <v/>
      </c>
      <c r="F8" s="55" t="str">
        <f t="shared" si="2"/>
        <v/>
      </c>
      <c r="G8" s="56">
        <f t="shared" si="3"/>
        <v>0</v>
      </c>
      <c r="H8" s="178"/>
      <c r="I8" s="48"/>
      <c r="J8" s="175"/>
      <c r="K8" s="176"/>
      <c r="L8" s="40" t="str">
        <f t="shared" si="4"/>
        <v/>
      </c>
      <c r="M8" s="30"/>
      <c r="N8" s="30"/>
      <c r="O8" s="30"/>
      <c r="P8" s="30"/>
      <c r="Q8" s="30"/>
    </row>
    <row r="9" spans="1:17">
      <c r="A9" s="210"/>
      <c r="B9" s="9" t="s">
        <v>8</v>
      </c>
      <c r="C9" s="10" t="s">
        <v>9</v>
      </c>
      <c r="D9" s="211"/>
      <c r="E9" s="42" t="str">
        <f t="shared" si="0"/>
        <v/>
      </c>
      <c r="F9" s="55" t="str">
        <f t="shared" ref="F9:F18" si="5">IF(D9="","",VALUE("$" &amp; FIXED(E9*0.65,0)))</f>
        <v/>
      </c>
      <c r="G9" s="56">
        <f t="shared" ref="G9:G18" si="6">D9*H$55</f>
        <v>0</v>
      </c>
      <c r="H9" s="178"/>
      <c r="I9" s="48"/>
      <c r="J9" s="175"/>
      <c r="K9" s="176"/>
      <c r="L9" s="40" t="str">
        <f t="shared" ref="L9:L18" si="7">IF(H9="","",H9*(K9-J9)*24)</f>
        <v/>
      </c>
      <c r="M9" s="30"/>
      <c r="N9" s="30"/>
      <c r="O9" s="30"/>
      <c r="P9" s="30"/>
      <c r="Q9" s="30"/>
    </row>
    <row r="10" spans="1:17">
      <c r="A10" s="210"/>
      <c r="B10" s="9" t="s">
        <v>8</v>
      </c>
      <c r="C10" s="10" t="s">
        <v>9</v>
      </c>
      <c r="D10" s="211"/>
      <c r="E10" s="42" t="str">
        <f t="shared" si="0"/>
        <v/>
      </c>
      <c r="F10" s="55" t="str">
        <f t="shared" si="5"/>
        <v/>
      </c>
      <c r="G10" s="56">
        <f t="shared" si="6"/>
        <v>0</v>
      </c>
      <c r="H10" s="178"/>
      <c r="I10" s="48"/>
      <c r="J10" s="175"/>
      <c r="K10" s="176"/>
      <c r="L10" s="40" t="str">
        <f t="shared" si="7"/>
        <v/>
      </c>
      <c r="M10" s="30"/>
      <c r="N10" s="30"/>
      <c r="O10" s="30"/>
      <c r="P10" s="30"/>
      <c r="Q10" s="30"/>
    </row>
    <row r="11" spans="1:17">
      <c r="A11" s="210"/>
      <c r="B11" s="9" t="s">
        <v>8</v>
      </c>
      <c r="C11" s="10" t="s">
        <v>9</v>
      </c>
      <c r="D11" s="211"/>
      <c r="E11" s="42" t="str">
        <f t="shared" si="0"/>
        <v/>
      </c>
      <c r="F11" s="55" t="str">
        <f t="shared" si="5"/>
        <v/>
      </c>
      <c r="G11" s="56">
        <f t="shared" si="6"/>
        <v>0</v>
      </c>
      <c r="H11" s="178"/>
      <c r="I11" s="48"/>
      <c r="J11" s="175"/>
      <c r="K11" s="176"/>
      <c r="L11" s="40" t="str">
        <f t="shared" si="7"/>
        <v/>
      </c>
      <c r="M11" s="30"/>
      <c r="N11" s="30"/>
      <c r="O11" s="30"/>
      <c r="P11" s="30"/>
      <c r="Q11" s="30"/>
    </row>
    <row r="12" spans="1:17">
      <c r="A12" s="210"/>
      <c r="B12" s="9" t="s">
        <v>8</v>
      </c>
      <c r="C12" s="10" t="s">
        <v>9</v>
      </c>
      <c r="D12" s="211"/>
      <c r="E12" s="42" t="str">
        <f t="shared" si="0"/>
        <v/>
      </c>
      <c r="F12" s="55" t="str">
        <f t="shared" si="5"/>
        <v/>
      </c>
      <c r="G12" s="56">
        <f t="shared" si="6"/>
        <v>0</v>
      </c>
      <c r="H12" s="178"/>
      <c r="I12" s="48"/>
      <c r="J12" s="175"/>
      <c r="K12" s="176"/>
      <c r="L12" s="40" t="str">
        <f t="shared" si="7"/>
        <v/>
      </c>
      <c r="M12" s="30"/>
      <c r="N12" s="30"/>
      <c r="O12" s="30"/>
      <c r="P12" s="30"/>
      <c r="Q12" s="30"/>
    </row>
    <row r="13" spans="1:17">
      <c r="A13" s="210"/>
      <c r="B13" s="9" t="s">
        <v>8</v>
      </c>
      <c r="C13" s="10" t="s">
        <v>9</v>
      </c>
      <c r="D13" s="211"/>
      <c r="E13" s="42" t="str">
        <f t="shared" si="0"/>
        <v/>
      </c>
      <c r="F13" s="55" t="str">
        <f t="shared" si="5"/>
        <v/>
      </c>
      <c r="G13" s="56">
        <f t="shared" si="6"/>
        <v>0</v>
      </c>
      <c r="H13" s="178"/>
      <c r="I13" s="48"/>
      <c r="J13" s="175"/>
      <c r="K13" s="176"/>
      <c r="L13" s="40" t="str">
        <f t="shared" si="7"/>
        <v/>
      </c>
      <c r="M13" s="30"/>
      <c r="N13" s="30"/>
      <c r="O13" s="30"/>
      <c r="P13" s="30"/>
      <c r="Q13" s="30"/>
    </row>
    <row r="14" spans="1:17">
      <c r="A14" s="210"/>
      <c r="B14" s="9" t="s">
        <v>8</v>
      </c>
      <c r="C14" s="10" t="s">
        <v>9</v>
      </c>
      <c r="D14" s="211"/>
      <c r="E14" s="42" t="str">
        <f t="shared" si="0"/>
        <v/>
      </c>
      <c r="F14" s="55" t="str">
        <f t="shared" si="5"/>
        <v/>
      </c>
      <c r="G14" s="56">
        <f t="shared" si="6"/>
        <v>0</v>
      </c>
      <c r="H14" s="178"/>
      <c r="I14" s="48"/>
      <c r="J14" s="175"/>
      <c r="K14" s="176"/>
      <c r="L14" s="40" t="str">
        <f t="shared" si="7"/>
        <v/>
      </c>
      <c r="M14" s="30"/>
      <c r="N14" s="30"/>
      <c r="O14" s="30"/>
      <c r="P14" s="30"/>
      <c r="Q14" s="30"/>
    </row>
    <row r="15" spans="1:17">
      <c r="A15" s="210"/>
      <c r="B15" s="9" t="s">
        <v>8</v>
      </c>
      <c r="C15" s="10" t="s">
        <v>9</v>
      </c>
      <c r="D15" s="211"/>
      <c r="E15" s="42" t="str">
        <f t="shared" si="0"/>
        <v/>
      </c>
      <c r="F15" s="55" t="str">
        <f t="shared" si="5"/>
        <v/>
      </c>
      <c r="G15" s="56">
        <f t="shared" si="6"/>
        <v>0</v>
      </c>
      <c r="H15" s="178"/>
      <c r="I15" s="48"/>
      <c r="J15" s="175"/>
      <c r="K15" s="176"/>
      <c r="L15" s="40" t="str">
        <f t="shared" si="7"/>
        <v/>
      </c>
      <c r="M15" s="30"/>
      <c r="N15" s="30"/>
      <c r="O15" s="30"/>
      <c r="P15" s="30"/>
      <c r="Q15" s="30"/>
    </row>
    <row r="16" spans="1:17">
      <c r="A16" s="210"/>
      <c r="B16" s="9" t="s">
        <v>8</v>
      </c>
      <c r="C16" s="10" t="s">
        <v>9</v>
      </c>
      <c r="D16" s="211"/>
      <c r="E16" s="42" t="str">
        <f t="shared" si="0"/>
        <v/>
      </c>
      <c r="F16" s="55" t="str">
        <f t="shared" si="5"/>
        <v/>
      </c>
      <c r="G16" s="56">
        <f t="shared" si="6"/>
        <v>0</v>
      </c>
      <c r="H16" s="178"/>
      <c r="I16" s="48"/>
      <c r="J16" s="175"/>
      <c r="K16" s="176"/>
      <c r="L16" s="40" t="str">
        <f t="shared" si="7"/>
        <v/>
      </c>
      <c r="M16" s="30"/>
      <c r="N16" s="30"/>
      <c r="O16" s="30"/>
      <c r="P16" s="30"/>
      <c r="Q16" s="30"/>
    </row>
    <row r="17" spans="1:17">
      <c r="A17" s="210"/>
      <c r="B17" s="9" t="s">
        <v>8</v>
      </c>
      <c r="C17" s="10" t="s">
        <v>9</v>
      </c>
      <c r="D17" s="211"/>
      <c r="E17" s="42" t="str">
        <f t="shared" si="0"/>
        <v/>
      </c>
      <c r="F17" s="55" t="str">
        <f t="shared" si="5"/>
        <v/>
      </c>
      <c r="G17" s="56">
        <f t="shared" si="6"/>
        <v>0</v>
      </c>
      <c r="H17" s="178"/>
      <c r="I17" s="48"/>
      <c r="J17" s="175"/>
      <c r="K17" s="176"/>
      <c r="L17" s="40" t="str">
        <f t="shared" si="7"/>
        <v/>
      </c>
      <c r="M17" s="30"/>
      <c r="N17" s="30"/>
      <c r="O17" s="30"/>
      <c r="P17" s="30"/>
      <c r="Q17" s="30"/>
    </row>
    <row r="18" spans="1:17">
      <c r="A18" s="210"/>
      <c r="B18" s="9" t="s">
        <v>8</v>
      </c>
      <c r="C18" s="10" t="s">
        <v>9</v>
      </c>
      <c r="D18" s="211"/>
      <c r="E18" s="42" t="str">
        <f t="shared" si="0"/>
        <v/>
      </c>
      <c r="F18" s="55" t="str">
        <f t="shared" si="5"/>
        <v/>
      </c>
      <c r="G18" s="56">
        <f t="shared" si="6"/>
        <v>0</v>
      </c>
      <c r="H18" s="178"/>
      <c r="I18" s="48"/>
      <c r="J18" s="175"/>
      <c r="K18" s="176"/>
      <c r="L18" s="40" t="str">
        <f t="shared" si="7"/>
        <v/>
      </c>
      <c r="M18" s="30"/>
      <c r="N18" s="30"/>
      <c r="O18" s="30"/>
      <c r="P18" s="30"/>
      <c r="Q18" s="30"/>
    </row>
    <row r="19" spans="1:17">
      <c r="A19" s="210"/>
      <c r="B19" s="9" t="s">
        <v>8</v>
      </c>
      <c r="C19" s="10" t="s">
        <v>9</v>
      </c>
      <c r="D19" s="211"/>
      <c r="E19" s="42" t="str">
        <f t="shared" si="0"/>
        <v/>
      </c>
      <c r="F19" s="55" t="str">
        <f t="shared" si="2"/>
        <v/>
      </c>
      <c r="G19" s="56">
        <f t="shared" si="3"/>
        <v>0</v>
      </c>
      <c r="H19" s="178"/>
      <c r="I19" s="48"/>
      <c r="J19" s="175"/>
      <c r="K19" s="176"/>
      <c r="L19" s="40" t="str">
        <f t="shared" si="4"/>
        <v/>
      </c>
      <c r="M19" s="30"/>
      <c r="N19" s="30"/>
      <c r="O19" s="30"/>
      <c r="P19" s="30"/>
      <c r="Q19" s="30"/>
    </row>
    <row r="20" spans="1:17">
      <c r="A20" s="210"/>
      <c r="B20" s="9" t="s">
        <v>8</v>
      </c>
      <c r="C20" s="10" t="s">
        <v>9</v>
      </c>
      <c r="D20" s="211"/>
      <c r="E20" s="42" t="str">
        <f t="shared" si="0"/>
        <v/>
      </c>
      <c r="F20" s="55" t="str">
        <f t="shared" si="2"/>
        <v/>
      </c>
      <c r="G20" s="56">
        <f t="shared" si="3"/>
        <v>0</v>
      </c>
      <c r="H20" s="178"/>
      <c r="I20" s="48"/>
      <c r="J20" s="175"/>
      <c r="K20" s="176"/>
      <c r="L20" s="40" t="str">
        <f t="shared" si="4"/>
        <v/>
      </c>
      <c r="M20" s="30"/>
      <c r="N20" s="30"/>
      <c r="O20" s="30"/>
      <c r="P20" s="30"/>
      <c r="Q20" s="30"/>
    </row>
    <row r="21" spans="1:17">
      <c r="A21" s="210"/>
      <c r="B21" s="9" t="s">
        <v>8</v>
      </c>
      <c r="C21" s="10" t="s">
        <v>9</v>
      </c>
      <c r="D21" s="211"/>
      <c r="E21" s="42" t="str">
        <f t="shared" si="0"/>
        <v/>
      </c>
      <c r="F21" s="55" t="str">
        <f t="shared" si="2"/>
        <v/>
      </c>
      <c r="G21" s="56">
        <f t="shared" si="3"/>
        <v>0</v>
      </c>
      <c r="H21" s="178"/>
      <c r="I21" s="48"/>
      <c r="J21" s="175"/>
      <c r="K21" s="176"/>
      <c r="L21" s="40" t="str">
        <f t="shared" si="4"/>
        <v/>
      </c>
      <c r="M21" s="30"/>
      <c r="N21" s="30"/>
      <c r="O21" s="30"/>
      <c r="P21" s="30"/>
      <c r="Q21" s="30"/>
    </row>
    <row r="22" spans="1:17">
      <c r="A22" s="210"/>
      <c r="B22" s="9" t="s">
        <v>8</v>
      </c>
      <c r="C22" s="10" t="s">
        <v>9</v>
      </c>
      <c r="D22" s="211"/>
      <c r="E22" s="42" t="str">
        <f t="shared" si="0"/>
        <v/>
      </c>
      <c r="F22" s="55" t="str">
        <f t="shared" si="2"/>
        <v/>
      </c>
      <c r="G22" s="56">
        <f t="shared" si="3"/>
        <v>0</v>
      </c>
      <c r="H22" s="178"/>
      <c r="I22" s="48"/>
      <c r="J22" s="175"/>
      <c r="K22" s="176"/>
      <c r="L22" s="40" t="str">
        <f t="shared" si="4"/>
        <v/>
      </c>
      <c r="M22" s="30"/>
      <c r="N22" s="30"/>
      <c r="O22" s="30"/>
      <c r="P22" s="30"/>
      <c r="Q22" s="30"/>
    </row>
    <row r="23" spans="1:17">
      <c r="A23" s="210"/>
      <c r="B23" s="9" t="s">
        <v>8</v>
      </c>
      <c r="C23" s="10" t="s">
        <v>9</v>
      </c>
      <c r="D23" s="211"/>
      <c r="E23" s="42" t="str">
        <f t="shared" si="0"/>
        <v/>
      </c>
      <c r="F23" s="55" t="str">
        <f t="shared" si="2"/>
        <v/>
      </c>
      <c r="G23" s="56">
        <f t="shared" si="3"/>
        <v>0</v>
      </c>
      <c r="H23" s="178"/>
      <c r="I23" s="48"/>
      <c r="J23" s="175"/>
      <c r="K23" s="176"/>
      <c r="L23" s="40" t="str">
        <f t="shared" si="4"/>
        <v/>
      </c>
      <c r="M23" s="30"/>
      <c r="N23" s="30"/>
      <c r="O23" s="30"/>
      <c r="P23" s="30"/>
      <c r="Q23" s="30"/>
    </row>
    <row r="24" spans="1:17">
      <c r="A24" s="210"/>
      <c r="B24" s="9" t="s">
        <v>8</v>
      </c>
      <c r="C24" s="10" t="s">
        <v>9</v>
      </c>
      <c r="D24" s="211"/>
      <c r="E24" s="42" t="str">
        <f t="shared" si="0"/>
        <v/>
      </c>
      <c r="F24" s="55" t="str">
        <f t="shared" ref="F24:F30" si="8">IF(D24="","",VALUE("$" &amp; FIXED(E24*0.65,0)))</f>
        <v/>
      </c>
      <c r="G24" s="56">
        <f t="shared" si="1"/>
        <v>0</v>
      </c>
      <c r="H24" s="178"/>
      <c r="I24" s="48"/>
      <c r="J24" s="175"/>
      <c r="K24" s="176"/>
      <c r="L24" s="40" t="str">
        <f t="shared" ref="L24:L42" si="9">IF(H24="","",H24*(K24-J24)*24)</f>
        <v/>
      </c>
      <c r="M24" s="30"/>
      <c r="N24" s="30"/>
      <c r="O24" s="30"/>
      <c r="P24" s="30"/>
      <c r="Q24" s="30"/>
    </row>
    <row r="25" spans="1:17">
      <c r="A25" s="210"/>
      <c r="B25" s="9" t="s">
        <v>8</v>
      </c>
      <c r="C25" s="10" t="s">
        <v>9</v>
      </c>
      <c r="D25" s="211"/>
      <c r="E25" s="42" t="str">
        <f t="shared" si="0"/>
        <v/>
      </c>
      <c r="F25" s="55" t="str">
        <f t="shared" si="8"/>
        <v/>
      </c>
      <c r="G25" s="56">
        <f t="shared" si="1"/>
        <v>0</v>
      </c>
      <c r="H25" s="178"/>
      <c r="I25" s="48"/>
      <c r="J25" s="175"/>
      <c r="K25" s="176"/>
      <c r="L25" s="40" t="str">
        <f t="shared" si="9"/>
        <v/>
      </c>
      <c r="M25" s="30"/>
      <c r="N25" s="30"/>
      <c r="O25" s="30"/>
      <c r="P25" s="30"/>
      <c r="Q25" s="30"/>
    </row>
    <row r="26" spans="1:17">
      <c r="A26" s="210"/>
      <c r="B26" s="9" t="s">
        <v>8</v>
      </c>
      <c r="C26" s="10" t="s">
        <v>9</v>
      </c>
      <c r="D26" s="211"/>
      <c r="E26" s="42" t="str">
        <f t="shared" si="0"/>
        <v/>
      </c>
      <c r="F26" s="55" t="str">
        <f t="shared" si="8"/>
        <v/>
      </c>
      <c r="G26" s="56">
        <f t="shared" si="1"/>
        <v>0</v>
      </c>
      <c r="H26" s="178"/>
      <c r="I26" s="48"/>
      <c r="J26" s="175"/>
      <c r="K26" s="176"/>
      <c r="L26" s="40" t="str">
        <f t="shared" si="9"/>
        <v/>
      </c>
      <c r="M26" s="30"/>
      <c r="N26" s="30"/>
      <c r="O26" s="30"/>
      <c r="P26" s="30"/>
      <c r="Q26" s="30"/>
    </row>
    <row r="27" spans="1:17">
      <c r="A27" s="210"/>
      <c r="B27" s="9" t="s">
        <v>8</v>
      </c>
      <c r="C27" s="10" t="s">
        <v>9</v>
      </c>
      <c r="D27" s="211"/>
      <c r="E27" s="42" t="str">
        <f t="shared" si="0"/>
        <v/>
      </c>
      <c r="F27" s="55" t="str">
        <f t="shared" si="8"/>
        <v/>
      </c>
      <c r="G27" s="56">
        <f t="shared" si="1"/>
        <v>0</v>
      </c>
      <c r="H27" s="178"/>
      <c r="I27" s="48"/>
      <c r="J27" s="175"/>
      <c r="K27" s="176"/>
      <c r="L27" s="40" t="str">
        <f t="shared" si="9"/>
        <v/>
      </c>
      <c r="M27" s="30"/>
      <c r="N27" s="30"/>
      <c r="O27" s="30"/>
      <c r="P27" s="30"/>
      <c r="Q27" s="30"/>
    </row>
    <row r="28" spans="1:17">
      <c r="A28" s="210"/>
      <c r="B28" s="9" t="s">
        <v>8</v>
      </c>
      <c r="C28" s="10" t="s">
        <v>9</v>
      </c>
      <c r="D28" s="211"/>
      <c r="E28" s="42" t="str">
        <f t="shared" si="0"/>
        <v/>
      </c>
      <c r="F28" s="55" t="str">
        <f t="shared" si="8"/>
        <v/>
      </c>
      <c r="G28" s="56">
        <f t="shared" si="1"/>
        <v>0</v>
      </c>
      <c r="H28" s="178"/>
      <c r="I28" s="48"/>
      <c r="J28" s="175"/>
      <c r="K28" s="176"/>
      <c r="L28" s="40" t="str">
        <f t="shared" si="9"/>
        <v/>
      </c>
      <c r="M28" s="30"/>
      <c r="N28" s="30"/>
      <c r="O28" s="30"/>
      <c r="P28" s="30"/>
      <c r="Q28" s="30"/>
    </row>
    <row r="29" spans="1:17">
      <c r="A29" s="210"/>
      <c r="B29" s="9" t="s">
        <v>8</v>
      </c>
      <c r="C29" s="10" t="s">
        <v>9</v>
      </c>
      <c r="D29" s="211"/>
      <c r="E29" s="42" t="str">
        <f t="shared" si="0"/>
        <v/>
      </c>
      <c r="F29" s="55" t="str">
        <f t="shared" si="8"/>
        <v/>
      </c>
      <c r="G29" s="56">
        <f t="shared" si="1"/>
        <v>0</v>
      </c>
      <c r="H29" s="178"/>
      <c r="I29" s="48"/>
      <c r="J29" s="175"/>
      <c r="K29" s="176"/>
      <c r="L29" s="40" t="str">
        <f t="shared" si="9"/>
        <v/>
      </c>
      <c r="M29" s="30"/>
      <c r="N29" s="30"/>
      <c r="O29" s="30"/>
      <c r="P29" s="30"/>
      <c r="Q29" s="30"/>
    </row>
    <row r="30" spans="1:17">
      <c r="A30" s="210"/>
      <c r="B30" s="9" t="s">
        <v>8</v>
      </c>
      <c r="C30" s="10" t="s">
        <v>9</v>
      </c>
      <c r="D30" s="211"/>
      <c r="E30" s="42" t="str">
        <f t="shared" si="0"/>
        <v/>
      </c>
      <c r="F30" s="55" t="str">
        <f t="shared" si="8"/>
        <v/>
      </c>
      <c r="G30" s="56">
        <f t="shared" si="1"/>
        <v>0</v>
      </c>
      <c r="H30" s="178"/>
      <c r="I30" s="48"/>
      <c r="J30" s="175"/>
      <c r="K30" s="176"/>
      <c r="L30" s="40" t="str">
        <f t="shared" si="9"/>
        <v/>
      </c>
      <c r="M30" s="30"/>
      <c r="N30" s="30"/>
      <c r="O30" s="30"/>
      <c r="P30" s="30"/>
      <c r="Q30" s="30"/>
    </row>
    <row r="31" spans="1:17" s="13" customFormat="1" ht="2.25" customHeight="1" thickBot="1">
      <c r="A31" s="14"/>
      <c r="B31" s="15"/>
      <c r="C31" s="15"/>
      <c r="D31" s="15"/>
      <c r="E31" s="16"/>
      <c r="F31" s="17"/>
      <c r="G31" s="51"/>
      <c r="H31" s="51"/>
      <c r="I31" s="51"/>
      <c r="J31" s="17"/>
      <c r="K31" s="52"/>
      <c r="L31" s="31" t="str">
        <f t="shared" ref="L31" si="10">IF(H31="","",H31*(K31-J31)*24)</f>
        <v/>
      </c>
      <c r="M31" s="31"/>
      <c r="N31" s="31"/>
      <c r="O31" s="31"/>
      <c r="P31" s="31"/>
      <c r="Q31" s="31"/>
    </row>
    <row r="32" spans="1:17" ht="15.75" thickBot="1">
      <c r="D32">
        <f>SUM(D6:D31)</f>
        <v>0</v>
      </c>
      <c r="E32" s="5">
        <f>SUM(E6:E30)</f>
        <v>0</v>
      </c>
      <c r="F32" s="5">
        <f>SUM(F6:F30)</f>
        <v>0</v>
      </c>
      <c r="G32" s="49">
        <f>SUM(G6:G30)</f>
        <v>0</v>
      </c>
      <c r="H32" s="49">
        <f>SUM(H6:H30)</f>
        <v>0</v>
      </c>
      <c r="I32" s="50"/>
      <c r="J32" s="18"/>
      <c r="K32" s="12"/>
      <c r="L32" s="45"/>
      <c r="N32"/>
      <c r="P32" s="45"/>
      <c r="Q32" s="45"/>
    </row>
    <row r="33" spans="1:17" hidden="1">
      <c r="A33" s="53" t="s">
        <v>104</v>
      </c>
      <c r="E33" s="5"/>
      <c r="F33" s="5"/>
      <c r="G33" s="50"/>
      <c r="H33" s="50"/>
      <c r="I33" s="50"/>
      <c r="J33" s="18"/>
      <c r="K33" s="12"/>
      <c r="L33" s="45"/>
      <c r="N33"/>
      <c r="P33" s="45"/>
      <c r="Q33" s="45"/>
    </row>
    <row r="34" spans="1:17" s="6" customFormat="1" ht="80.25" hidden="1" customHeight="1">
      <c r="A34" s="7" t="s">
        <v>93</v>
      </c>
      <c r="B34" s="7" t="s">
        <v>91</v>
      </c>
      <c r="C34" s="7" t="s">
        <v>5</v>
      </c>
      <c r="D34" s="7" t="s">
        <v>92</v>
      </c>
      <c r="E34" s="7" t="s">
        <v>6</v>
      </c>
      <c r="F34" s="7" t="s">
        <v>7</v>
      </c>
      <c r="G34" s="46" t="str">
        <f>G5</f>
        <v>Calc. Annual kWh Saved</v>
      </c>
      <c r="H34" s="46" t="s">
        <v>94</v>
      </c>
      <c r="I34" s="46" t="s">
        <v>106</v>
      </c>
      <c r="J34" s="7" t="s">
        <v>95</v>
      </c>
      <c r="K34" s="7" t="s">
        <v>96</v>
      </c>
      <c r="L34" s="7" t="s">
        <v>102</v>
      </c>
      <c r="M34" s="7" t="s">
        <v>98</v>
      </c>
      <c r="N34" s="7" t="s">
        <v>99</v>
      </c>
      <c r="O34" s="7" t="s">
        <v>100</v>
      </c>
      <c r="P34" s="7" t="s">
        <v>101</v>
      </c>
      <c r="Q34" s="7" t="s">
        <v>103</v>
      </c>
    </row>
    <row r="35" spans="1:17" hidden="1">
      <c r="A35" s="8"/>
      <c r="B35" s="9" t="s">
        <v>8</v>
      </c>
      <c r="C35" s="10" t="s">
        <v>10</v>
      </c>
      <c r="D35" s="9"/>
      <c r="E35" s="42" t="str">
        <f t="shared" ref="E35:E41" si="11">IF(D35="","",VLOOKUP(D35,$A$50:$B$59,2,)*1.08)</f>
        <v/>
      </c>
      <c r="F35" s="55" t="str">
        <f t="shared" ref="F35:F41" si="12">IF(D35="","",VALUE("$" &amp; FIXED(E35*0.65,0)))</f>
        <v/>
      </c>
      <c r="G35" s="73">
        <f>D35*'Condenser Fan Savings'!$E$39</f>
        <v>0</v>
      </c>
      <c r="H35" s="48"/>
      <c r="I35" s="48"/>
      <c r="J35" s="11"/>
      <c r="K35" s="40"/>
      <c r="L35" s="30" t="str">
        <f t="shared" ref="L35:L41" si="13">IF(H35="","",H35*(K35-J35)*24)</f>
        <v/>
      </c>
      <c r="M35" s="30"/>
      <c r="N35" s="30"/>
      <c r="O35" s="30"/>
      <c r="P35" s="30"/>
      <c r="Q35" s="30"/>
    </row>
    <row r="36" spans="1:17" hidden="1">
      <c r="A36" s="8"/>
      <c r="B36" s="9" t="s">
        <v>8</v>
      </c>
      <c r="C36" s="10" t="s">
        <v>10</v>
      </c>
      <c r="D36" s="9"/>
      <c r="E36" s="42" t="str">
        <f t="shared" si="11"/>
        <v/>
      </c>
      <c r="F36" s="55" t="str">
        <f t="shared" si="12"/>
        <v/>
      </c>
      <c r="G36" s="73">
        <f>D36*'Condenser Fan Savings'!$E$39</f>
        <v>0</v>
      </c>
      <c r="H36" s="48"/>
      <c r="I36" s="48"/>
      <c r="J36" s="11"/>
      <c r="K36" s="40"/>
      <c r="L36" s="30" t="str">
        <f t="shared" si="13"/>
        <v/>
      </c>
      <c r="M36" s="30"/>
      <c r="N36" s="30"/>
      <c r="O36" s="30"/>
      <c r="P36" s="30"/>
      <c r="Q36" s="30"/>
    </row>
    <row r="37" spans="1:17" hidden="1">
      <c r="A37" s="8"/>
      <c r="B37" s="9" t="s">
        <v>8</v>
      </c>
      <c r="C37" s="10" t="s">
        <v>10</v>
      </c>
      <c r="D37" s="9"/>
      <c r="E37" s="42" t="str">
        <f t="shared" si="11"/>
        <v/>
      </c>
      <c r="F37" s="55" t="str">
        <f t="shared" si="12"/>
        <v/>
      </c>
      <c r="G37" s="73">
        <f>D37*'Condenser Fan Savings'!$E$39</f>
        <v>0</v>
      </c>
      <c r="H37" s="48"/>
      <c r="I37" s="48"/>
      <c r="J37" s="11"/>
      <c r="K37" s="40"/>
      <c r="L37" s="30" t="str">
        <f t="shared" si="13"/>
        <v/>
      </c>
      <c r="M37" s="30"/>
      <c r="N37" s="30"/>
      <c r="O37" s="30"/>
      <c r="P37" s="30"/>
      <c r="Q37" s="30"/>
    </row>
    <row r="38" spans="1:17" hidden="1">
      <c r="A38" s="8"/>
      <c r="B38" s="9" t="s">
        <v>8</v>
      </c>
      <c r="C38" s="10" t="s">
        <v>10</v>
      </c>
      <c r="D38" s="9"/>
      <c r="E38" s="42" t="str">
        <f t="shared" si="11"/>
        <v/>
      </c>
      <c r="F38" s="55" t="str">
        <f t="shared" ref="F38:F40" si="14">IF(D38="","",VALUE("$" &amp; FIXED(E38*0.65,0)))</f>
        <v/>
      </c>
      <c r="G38" s="73">
        <f>D38*'Condenser Fan Savings'!$E$39</f>
        <v>0</v>
      </c>
      <c r="H38" s="48"/>
      <c r="I38" s="48"/>
      <c r="J38" s="11"/>
      <c r="K38" s="40"/>
      <c r="L38" s="30" t="str">
        <f t="shared" ref="L38:L40" si="15">IF(H38="","",H38*(K38-J38)*24)</f>
        <v/>
      </c>
      <c r="M38" s="30"/>
      <c r="N38" s="30"/>
      <c r="O38" s="30"/>
      <c r="P38" s="30"/>
      <c r="Q38" s="30"/>
    </row>
    <row r="39" spans="1:17" hidden="1">
      <c r="A39" s="8"/>
      <c r="B39" s="9" t="s">
        <v>8</v>
      </c>
      <c r="C39" s="10" t="s">
        <v>10</v>
      </c>
      <c r="D39" s="9"/>
      <c r="E39" s="42" t="str">
        <f t="shared" si="11"/>
        <v/>
      </c>
      <c r="F39" s="55" t="str">
        <f t="shared" si="14"/>
        <v/>
      </c>
      <c r="G39" s="73">
        <f>D39*'Condenser Fan Savings'!$E$39</f>
        <v>0</v>
      </c>
      <c r="H39" s="48"/>
      <c r="I39" s="48"/>
      <c r="J39" s="11"/>
      <c r="K39" s="40"/>
      <c r="L39" s="30" t="str">
        <f t="shared" si="15"/>
        <v/>
      </c>
      <c r="M39" s="30"/>
      <c r="N39" s="30"/>
      <c r="O39" s="30"/>
      <c r="P39" s="30"/>
      <c r="Q39" s="30"/>
    </row>
    <row r="40" spans="1:17" hidden="1">
      <c r="A40" s="8"/>
      <c r="B40" s="9" t="s">
        <v>8</v>
      </c>
      <c r="C40" s="10" t="s">
        <v>10</v>
      </c>
      <c r="D40" s="9"/>
      <c r="E40" s="42" t="str">
        <f t="shared" si="11"/>
        <v/>
      </c>
      <c r="F40" s="55" t="str">
        <f t="shared" si="14"/>
        <v/>
      </c>
      <c r="G40" s="73">
        <f>D40*'Condenser Fan Savings'!$E$39</f>
        <v>0</v>
      </c>
      <c r="H40" s="48"/>
      <c r="I40" s="48"/>
      <c r="J40" s="11"/>
      <c r="K40" s="40"/>
      <c r="L40" s="30" t="str">
        <f t="shared" si="15"/>
        <v/>
      </c>
      <c r="M40" s="30"/>
      <c r="N40" s="30"/>
      <c r="O40" s="30"/>
      <c r="P40" s="30"/>
      <c r="Q40" s="30"/>
    </row>
    <row r="41" spans="1:17" hidden="1">
      <c r="A41" s="8"/>
      <c r="B41" s="9" t="s">
        <v>8</v>
      </c>
      <c r="C41" s="10" t="s">
        <v>10</v>
      </c>
      <c r="D41" s="9"/>
      <c r="E41" s="42" t="str">
        <f t="shared" si="11"/>
        <v/>
      </c>
      <c r="F41" s="55" t="str">
        <f t="shared" si="12"/>
        <v/>
      </c>
      <c r="G41" s="73">
        <f>D41*'Condenser Fan Savings'!$E$39</f>
        <v>0</v>
      </c>
      <c r="H41" s="48"/>
      <c r="I41" s="48"/>
      <c r="J41" s="11"/>
      <c r="K41" s="40"/>
      <c r="L41" s="30" t="str">
        <f t="shared" si="13"/>
        <v/>
      </c>
      <c r="M41" s="30"/>
      <c r="N41" s="30"/>
      <c r="O41" s="30"/>
      <c r="P41" s="30"/>
      <c r="Q41" s="30"/>
    </row>
    <row r="42" spans="1:17" s="13" customFormat="1" ht="2.25" hidden="1" customHeight="1" thickBot="1">
      <c r="A42" s="14"/>
      <c r="B42" s="15"/>
      <c r="C42" s="15"/>
      <c r="D42" s="15"/>
      <c r="E42" s="16"/>
      <c r="F42" s="17"/>
      <c r="G42" s="51"/>
      <c r="H42" s="51"/>
      <c r="I42" s="51"/>
      <c r="J42" s="17"/>
      <c r="K42" s="52"/>
      <c r="L42" s="31" t="str">
        <f t="shared" si="9"/>
        <v/>
      </c>
      <c r="M42" s="31"/>
      <c r="N42" s="31"/>
      <c r="O42" s="31"/>
      <c r="P42" s="31"/>
      <c r="Q42" s="31"/>
    </row>
    <row r="43" spans="1:17" ht="15.75" hidden="1" thickBot="1">
      <c r="D43">
        <f>SUM(D35:D42)</f>
        <v>0</v>
      </c>
      <c r="E43" s="5">
        <f>SUM(E35:E42)</f>
        <v>0</v>
      </c>
      <c r="F43" s="5">
        <f>SUM(F35:F42)</f>
        <v>0</v>
      </c>
      <c r="G43" s="49">
        <f>SUM(G35:G42)</f>
        <v>0</v>
      </c>
      <c r="H43" s="49">
        <f>SUM(H35:H42)</f>
        <v>0</v>
      </c>
      <c r="I43" s="50"/>
      <c r="J43" s="18"/>
      <c r="K43" s="12"/>
      <c r="L43" s="45"/>
      <c r="N43"/>
      <c r="P43" s="45"/>
      <c r="Q43" s="45"/>
    </row>
    <row r="44" spans="1:17" hidden="1">
      <c r="C44" s="5" t="s">
        <v>82</v>
      </c>
      <c r="D44">
        <f>D32+D43</f>
        <v>0</v>
      </c>
      <c r="E44" s="18">
        <f>E32+E43</f>
        <v>0</v>
      </c>
      <c r="F44" s="18">
        <f>F32+F43</f>
        <v>0</v>
      </c>
      <c r="G44" s="19">
        <f>G32+G43</f>
        <v>0</v>
      </c>
      <c r="H44" s="50" t="s">
        <v>23</v>
      </c>
      <c r="I44" s="50"/>
      <c r="J44" s="18"/>
      <c r="K44" s="12"/>
      <c r="L44" s="3"/>
      <c r="N44"/>
      <c r="P44" s="3"/>
      <c r="Q44" s="3"/>
    </row>
    <row r="45" spans="1:17" hidden="1">
      <c r="A45" s="1" t="s">
        <v>139</v>
      </c>
      <c r="B45" s="21">
        <v>0.75</v>
      </c>
      <c r="C45" s="21">
        <v>0.6</v>
      </c>
      <c r="E45" s="5"/>
      <c r="F45" s="5"/>
      <c r="G45" s="12">
        <f>G44*1.0288</f>
        <v>0</v>
      </c>
      <c r="H45" s="50" t="s">
        <v>136</v>
      </c>
      <c r="I45" s="50"/>
      <c r="K45" s="12"/>
      <c r="L45" s="3"/>
      <c r="N45"/>
      <c r="P45" s="3"/>
      <c r="Q45" s="3"/>
    </row>
    <row r="46" spans="1:17" hidden="1">
      <c r="A46" t="s">
        <v>11</v>
      </c>
      <c r="N46"/>
    </row>
    <row r="47" spans="1:17" hidden="1">
      <c r="A47" t="s">
        <v>12</v>
      </c>
      <c r="J47" s="21">
        <v>0.65</v>
      </c>
      <c r="L47" t="s">
        <v>227</v>
      </c>
      <c r="N47"/>
    </row>
    <row r="48" spans="1:17" hidden="1">
      <c r="A48" t="s">
        <v>13</v>
      </c>
      <c r="L48" s="21">
        <v>0.75</v>
      </c>
      <c r="N48"/>
    </row>
    <row r="49" spans="1:23" s="26" customFormat="1" ht="45" hidden="1">
      <c r="A49" s="26" t="str">
        <f>D5</f>
        <v>VFD Rated HP</v>
      </c>
      <c r="B49" s="26" t="s">
        <v>14</v>
      </c>
      <c r="C49" s="26" t="s">
        <v>242</v>
      </c>
      <c r="D49" s="26" t="s">
        <v>15</v>
      </c>
      <c r="E49" s="26" t="s">
        <v>65</v>
      </c>
      <c r="G49" s="26" t="s">
        <v>138</v>
      </c>
      <c r="H49" s="32">
        <f>D32</f>
        <v>0</v>
      </c>
      <c r="I49" s="27"/>
      <c r="J49" s="26" t="s">
        <v>243</v>
      </c>
      <c r="K49" s="26" t="s">
        <v>235</v>
      </c>
      <c r="L49" s="26" t="s">
        <v>223</v>
      </c>
      <c r="M49" s="26" t="s">
        <v>224</v>
      </c>
      <c r="N49" s="26" t="s">
        <v>225</v>
      </c>
      <c r="O49" s="26" t="s">
        <v>240</v>
      </c>
      <c r="P49" s="26" t="s">
        <v>234</v>
      </c>
      <c r="Q49" s="26" t="s">
        <v>241</v>
      </c>
      <c r="R49" s="167" t="s">
        <v>247</v>
      </c>
      <c r="S49" s="7" t="s">
        <v>244</v>
      </c>
      <c r="T49" s="7" t="s">
        <v>245</v>
      </c>
      <c r="U49" s="166" t="s">
        <v>246</v>
      </c>
    </row>
    <row r="50" spans="1:23" hidden="1">
      <c r="A50" s="1">
        <v>5</v>
      </c>
      <c r="B50" s="20">
        <v>2755</v>
      </c>
      <c r="C50" s="18">
        <f>B50*1.08*C$45</f>
        <v>1785.24</v>
      </c>
      <c r="D50" s="12">
        <f t="shared" ref="D50:D59" si="16">A50*H$55</f>
        <v>8903.3333333333339</v>
      </c>
      <c r="E50" s="19">
        <f>D50*1.0288</f>
        <v>9159.7493333333332</v>
      </c>
      <c r="G50" s="1" t="s">
        <v>16</v>
      </c>
      <c r="H50" s="21">
        <v>0.8</v>
      </c>
      <c r="J50" s="18">
        <f>B50*1.08*J$47</f>
        <v>1934.0100000000002</v>
      </c>
      <c r="K50" s="121">
        <f>C50/B50</f>
        <v>0.64800000000000002</v>
      </c>
      <c r="L50">
        <f>C50/D50/L$48</f>
        <v>0.26735155372519653</v>
      </c>
      <c r="M50" s="122"/>
      <c r="N50" s="12">
        <f>D50*M50*L$48</f>
        <v>0</v>
      </c>
      <c r="O50" s="18">
        <f>C50*M50</f>
        <v>0</v>
      </c>
      <c r="P50" s="18">
        <f>B50*1.081*M50</f>
        <v>0</v>
      </c>
      <c r="R50" s="168">
        <f>A50</f>
        <v>5</v>
      </c>
      <c r="S50" s="170">
        <f>B50*1.081</f>
        <v>2978.1549999999997</v>
      </c>
      <c r="T50" s="172">
        <f>C50</f>
        <v>1785.24</v>
      </c>
      <c r="U50" s="164">
        <f>J50</f>
        <v>1934.0100000000002</v>
      </c>
      <c r="V50">
        <f>T50/S50</f>
        <v>0.59944495837187795</v>
      </c>
      <c r="W50">
        <f>U50/S50</f>
        <v>0.64939870490286788</v>
      </c>
    </row>
    <row r="51" spans="1:23" hidden="1">
      <c r="A51" s="1">
        <v>7.5</v>
      </c>
      <c r="B51" s="20">
        <v>2755</v>
      </c>
      <c r="C51" s="18">
        <f t="shared" ref="C51:C59" si="17">B51*1.08*C$45</f>
        <v>1785.24</v>
      </c>
      <c r="D51" s="12">
        <f t="shared" si="16"/>
        <v>13355</v>
      </c>
      <c r="E51" s="19">
        <f t="shared" ref="E51:E59" si="18">D51*1.0288</f>
        <v>13739.624</v>
      </c>
      <c r="G51" s="1" t="s">
        <v>17</v>
      </c>
      <c r="H51" s="21">
        <v>0.9</v>
      </c>
      <c r="J51" s="18">
        <f t="shared" ref="J51:J59" si="19">B51*1.08*J$47</f>
        <v>1934.0100000000002</v>
      </c>
      <c r="K51" s="121">
        <f t="shared" ref="K51:K59" si="20">C51/B51</f>
        <v>0.64800000000000002</v>
      </c>
      <c r="L51">
        <f t="shared" ref="L51:L59" si="21">C51/D51/L$48</f>
        <v>0.17823436915013102</v>
      </c>
      <c r="M51" s="122"/>
      <c r="N51" s="12">
        <f t="shared" ref="N51:N59" si="22">D51*M51*L$48</f>
        <v>0</v>
      </c>
      <c r="O51" s="18">
        <f t="shared" ref="O51:O59" si="23">C51*M51</f>
        <v>0</v>
      </c>
      <c r="P51" s="18">
        <f t="shared" ref="P51:P59" si="24">B51*1.081*M51</f>
        <v>0</v>
      </c>
      <c r="R51" s="168">
        <f t="shared" ref="R51:R59" si="25">A51</f>
        <v>7.5</v>
      </c>
      <c r="S51" s="170">
        <f t="shared" ref="S51:S59" si="26">B51*1.081</f>
        <v>2978.1549999999997</v>
      </c>
      <c r="T51" s="172">
        <f t="shared" ref="T51:T59" si="27">C51</f>
        <v>1785.24</v>
      </c>
      <c r="U51" s="164">
        <f t="shared" ref="U51:U59" si="28">J51</f>
        <v>1934.0100000000002</v>
      </c>
      <c r="V51">
        <f t="shared" ref="V51:V58" si="29">T51/S51</f>
        <v>0.59944495837187795</v>
      </c>
      <c r="W51">
        <f t="shared" ref="W51:W58" si="30">U51/S51</f>
        <v>0.64939870490286788</v>
      </c>
    </row>
    <row r="52" spans="1:23" hidden="1">
      <c r="A52" s="1">
        <v>10</v>
      </c>
      <c r="B52" s="20">
        <v>2827</v>
      </c>
      <c r="C52" s="18">
        <f t="shared" si="17"/>
        <v>1831.8960000000002</v>
      </c>
      <c r="D52" s="12">
        <f t="shared" si="16"/>
        <v>17806.666666666668</v>
      </c>
      <c r="E52" s="19">
        <f t="shared" si="18"/>
        <v>18319.498666666666</v>
      </c>
      <c r="G52" s="1" t="s">
        <v>18</v>
      </c>
      <c r="H52" s="12">
        <f>H49*H50*0.745/H51</f>
        <v>0</v>
      </c>
      <c r="J52" s="18">
        <f t="shared" si="19"/>
        <v>1984.5540000000003</v>
      </c>
      <c r="K52" s="121">
        <f t="shared" si="20"/>
        <v>0.64800000000000002</v>
      </c>
      <c r="L52">
        <f t="shared" si="21"/>
        <v>0.13716929988768253</v>
      </c>
      <c r="M52" s="122"/>
      <c r="N52" s="12">
        <f t="shared" si="22"/>
        <v>0</v>
      </c>
      <c r="O52" s="18">
        <f t="shared" si="23"/>
        <v>0</v>
      </c>
      <c r="P52" s="18">
        <f t="shared" si="24"/>
        <v>0</v>
      </c>
      <c r="R52" s="168">
        <f t="shared" si="25"/>
        <v>10</v>
      </c>
      <c r="S52" s="170">
        <f t="shared" si="26"/>
        <v>3055.9870000000001</v>
      </c>
      <c r="T52" s="172">
        <f t="shared" si="27"/>
        <v>1831.8960000000002</v>
      </c>
      <c r="U52" s="164">
        <f t="shared" si="28"/>
        <v>1984.5540000000003</v>
      </c>
      <c r="V52">
        <f t="shared" si="29"/>
        <v>0.59944495837187795</v>
      </c>
      <c r="W52">
        <f t="shared" si="30"/>
        <v>0.64939870490286777</v>
      </c>
    </row>
    <row r="53" spans="1:23" hidden="1">
      <c r="A53" s="1">
        <v>15</v>
      </c>
      <c r="B53" s="20">
        <v>3186</v>
      </c>
      <c r="C53" s="18">
        <f t="shared" si="17"/>
        <v>2064.5279999999998</v>
      </c>
      <c r="D53" s="12">
        <f t="shared" si="16"/>
        <v>26710</v>
      </c>
      <c r="E53" s="19">
        <f t="shared" si="18"/>
        <v>27479.248</v>
      </c>
      <c r="G53" s="1" t="s">
        <v>19</v>
      </c>
      <c r="H53" s="21">
        <v>0.5</v>
      </c>
      <c r="I53" s="5"/>
      <c r="J53" s="18">
        <f t="shared" si="19"/>
        <v>2236.5720000000001</v>
      </c>
      <c r="K53" s="121">
        <f t="shared" si="20"/>
        <v>0.64799999999999991</v>
      </c>
      <c r="L53">
        <f t="shared" si="21"/>
        <v>0.10305892923998501</v>
      </c>
      <c r="M53" s="122"/>
      <c r="N53" s="12">
        <f t="shared" si="22"/>
        <v>0</v>
      </c>
      <c r="O53" s="18">
        <f t="shared" si="23"/>
        <v>0</v>
      </c>
      <c r="P53" s="18">
        <f t="shared" si="24"/>
        <v>0</v>
      </c>
      <c r="R53" s="168">
        <f t="shared" si="25"/>
        <v>15</v>
      </c>
      <c r="S53" s="170">
        <f t="shared" si="26"/>
        <v>3444.0659999999998</v>
      </c>
      <c r="T53" s="172">
        <f t="shared" si="27"/>
        <v>2064.5279999999998</v>
      </c>
      <c r="U53" s="164">
        <f t="shared" si="28"/>
        <v>2236.5720000000001</v>
      </c>
      <c r="V53">
        <f t="shared" si="29"/>
        <v>0.59944495837187783</v>
      </c>
      <c r="W53">
        <f t="shared" si="30"/>
        <v>0.64939870490286777</v>
      </c>
    </row>
    <row r="54" spans="1:23" hidden="1">
      <c r="A54" s="1">
        <v>20</v>
      </c>
      <c r="B54" s="20">
        <v>3505</v>
      </c>
      <c r="C54" s="18">
        <f t="shared" si="17"/>
        <v>2271.2399999999998</v>
      </c>
      <c r="D54" s="12">
        <f t="shared" si="16"/>
        <v>35613.333333333336</v>
      </c>
      <c r="E54" s="19">
        <f t="shared" si="18"/>
        <v>36638.997333333333</v>
      </c>
      <c r="G54" s="1" t="s">
        <v>20</v>
      </c>
      <c r="H54" s="19">
        <f>H52*24*365*H53</f>
        <v>0</v>
      </c>
      <c r="I54" s="5"/>
      <c r="J54" s="18">
        <f t="shared" si="19"/>
        <v>2460.5100000000002</v>
      </c>
      <c r="K54" s="121">
        <f t="shared" si="20"/>
        <v>0.64799999999999991</v>
      </c>
      <c r="L54">
        <f t="shared" si="21"/>
        <v>8.503332085361287E-2</v>
      </c>
      <c r="M54" s="122"/>
      <c r="N54" s="12">
        <f t="shared" si="22"/>
        <v>0</v>
      </c>
      <c r="O54" s="18">
        <f t="shared" si="23"/>
        <v>0</v>
      </c>
      <c r="P54" s="18">
        <f t="shared" si="24"/>
        <v>0</v>
      </c>
      <c r="R54" s="168">
        <f t="shared" si="25"/>
        <v>20</v>
      </c>
      <c r="S54" s="170">
        <f t="shared" si="26"/>
        <v>3788.9049999999997</v>
      </c>
      <c r="T54" s="172">
        <f t="shared" si="27"/>
        <v>2271.2399999999998</v>
      </c>
      <c r="U54" s="164">
        <f t="shared" si="28"/>
        <v>2460.5100000000002</v>
      </c>
      <c r="V54">
        <f t="shared" si="29"/>
        <v>0.59944495837187783</v>
      </c>
      <c r="W54">
        <f t="shared" si="30"/>
        <v>0.64939870490286777</v>
      </c>
    </row>
    <row r="55" spans="1:23" hidden="1">
      <c r="A55" s="1">
        <v>25</v>
      </c>
      <c r="B55" s="20">
        <v>4213</v>
      </c>
      <c r="C55" s="18">
        <f t="shared" si="17"/>
        <v>2730.0239999999999</v>
      </c>
      <c r="D55" s="12">
        <f t="shared" si="16"/>
        <v>44516.666666666672</v>
      </c>
      <c r="E55" s="19">
        <f t="shared" si="18"/>
        <v>45798.746666666666</v>
      </c>
      <c r="G55" s="1" t="s">
        <v>21</v>
      </c>
      <c r="H55" s="12">
        <f>26710/15</f>
        <v>1780.6666666666667</v>
      </c>
      <c r="I55" s="5" t="s">
        <v>22</v>
      </c>
      <c r="J55" s="18">
        <f t="shared" si="19"/>
        <v>2957.5260000000003</v>
      </c>
      <c r="K55" s="121">
        <f t="shared" si="20"/>
        <v>0.64800000000000002</v>
      </c>
      <c r="L55">
        <f t="shared" si="21"/>
        <v>8.1767847248221628E-2</v>
      </c>
      <c r="M55" s="122"/>
      <c r="N55" s="12">
        <f t="shared" si="22"/>
        <v>0</v>
      </c>
      <c r="O55" s="18">
        <f t="shared" si="23"/>
        <v>0</v>
      </c>
      <c r="P55" s="18">
        <f t="shared" si="24"/>
        <v>0</v>
      </c>
      <c r="R55" s="168">
        <f t="shared" si="25"/>
        <v>25</v>
      </c>
      <c r="S55" s="170">
        <f t="shared" si="26"/>
        <v>4554.2529999999997</v>
      </c>
      <c r="T55" s="172">
        <f t="shared" si="27"/>
        <v>2730.0239999999999</v>
      </c>
      <c r="U55" s="164">
        <f t="shared" si="28"/>
        <v>2957.5260000000003</v>
      </c>
      <c r="V55">
        <f t="shared" si="29"/>
        <v>0.59944495837187795</v>
      </c>
      <c r="W55">
        <f t="shared" si="30"/>
        <v>0.64939870490286777</v>
      </c>
    </row>
    <row r="56" spans="1:23" hidden="1">
      <c r="A56" s="1">
        <v>30</v>
      </c>
      <c r="B56" s="20">
        <v>4819</v>
      </c>
      <c r="C56" s="18">
        <f t="shared" si="17"/>
        <v>3122.712</v>
      </c>
      <c r="D56" s="12">
        <f t="shared" si="16"/>
        <v>53420</v>
      </c>
      <c r="E56" s="19">
        <f t="shared" si="18"/>
        <v>54958.495999999999</v>
      </c>
      <c r="G56" s="1" t="e">
        <f>"Total Estimated Savings (" &amp; FIXED(H56*100/H54,0) &amp; "%)"</f>
        <v>#DIV/0!</v>
      </c>
      <c r="H56" s="12">
        <f>H49*H55</f>
        <v>0</v>
      </c>
      <c r="I56" s="5" t="s">
        <v>23</v>
      </c>
      <c r="J56" s="18">
        <f t="shared" si="19"/>
        <v>3382.9380000000006</v>
      </c>
      <c r="K56" s="121">
        <f t="shared" si="20"/>
        <v>0.64800000000000002</v>
      </c>
      <c r="L56">
        <f t="shared" si="21"/>
        <v>7.7941145638337705E-2</v>
      </c>
      <c r="M56" s="122"/>
      <c r="N56" s="12">
        <f t="shared" si="22"/>
        <v>0</v>
      </c>
      <c r="O56" s="18">
        <f t="shared" si="23"/>
        <v>0</v>
      </c>
      <c r="P56" s="18">
        <f t="shared" si="24"/>
        <v>0</v>
      </c>
      <c r="R56" s="168">
        <f t="shared" si="25"/>
        <v>30</v>
      </c>
      <c r="S56" s="170">
        <f t="shared" si="26"/>
        <v>5209.3389999999999</v>
      </c>
      <c r="T56" s="172">
        <f t="shared" si="27"/>
        <v>3122.712</v>
      </c>
      <c r="U56" s="164">
        <f t="shared" si="28"/>
        <v>3382.9380000000006</v>
      </c>
      <c r="V56">
        <f t="shared" si="29"/>
        <v>0.59944495837187795</v>
      </c>
      <c r="W56">
        <f t="shared" si="30"/>
        <v>0.64939870490286777</v>
      </c>
    </row>
    <row r="57" spans="1:23" hidden="1">
      <c r="A57" s="1">
        <v>40</v>
      </c>
      <c r="B57" s="20">
        <v>5574</v>
      </c>
      <c r="C57" s="18">
        <f t="shared" si="17"/>
        <v>3611.9519999999998</v>
      </c>
      <c r="D57" s="12">
        <f t="shared" si="16"/>
        <v>71226.666666666672</v>
      </c>
      <c r="E57" s="19">
        <f t="shared" si="18"/>
        <v>73277.994666666666</v>
      </c>
      <c r="G57" s="1" t="s">
        <v>24</v>
      </c>
      <c r="H57" s="22">
        <f>H56/8760/1000</f>
        <v>0</v>
      </c>
      <c r="I57" s="5" t="s">
        <v>25</v>
      </c>
      <c r="J57" s="18">
        <f t="shared" si="19"/>
        <v>3912.9480000000003</v>
      </c>
      <c r="K57" s="121">
        <f t="shared" si="20"/>
        <v>0.64799999999999991</v>
      </c>
      <c r="L57">
        <f t="shared" si="21"/>
        <v>6.7614226881317852E-2</v>
      </c>
      <c r="M57" s="122"/>
      <c r="N57" s="12">
        <f t="shared" si="22"/>
        <v>0</v>
      </c>
      <c r="O57" s="18">
        <f t="shared" si="23"/>
        <v>0</v>
      </c>
      <c r="P57" s="18">
        <f t="shared" si="24"/>
        <v>0</v>
      </c>
      <c r="R57" s="168">
        <f t="shared" si="25"/>
        <v>40</v>
      </c>
      <c r="S57" s="170">
        <f t="shared" si="26"/>
        <v>6025.4939999999997</v>
      </c>
      <c r="T57" s="172">
        <f t="shared" si="27"/>
        <v>3611.9519999999998</v>
      </c>
      <c r="U57" s="164">
        <f t="shared" si="28"/>
        <v>3912.9480000000003</v>
      </c>
      <c r="V57">
        <f t="shared" si="29"/>
        <v>0.59944495837187783</v>
      </c>
      <c r="W57">
        <f t="shared" si="30"/>
        <v>0.64939870490286777</v>
      </c>
    </row>
    <row r="58" spans="1:23" hidden="1">
      <c r="A58" s="1">
        <v>50</v>
      </c>
      <c r="B58" s="20">
        <v>6639</v>
      </c>
      <c r="C58" s="18">
        <f t="shared" si="17"/>
        <v>4302.0720000000001</v>
      </c>
      <c r="D58" s="12">
        <f t="shared" si="16"/>
        <v>89033.333333333343</v>
      </c>
      <c r="E58" s="19">
        <f t="shared" si="18"/>
        <v>91597.493333333332</v>
      </c>
      <c r="G58" s="1" t="s">
        <v>26</v>
      </c>
      <c r="H58" s="23">
        <v>1.9E-2</v>
      </c>
      <c r="I58" s="5" t="s">
        <v>27</v>
      </c>
      <c r="J58" s="18">
        <f t="shared" si="19"/>
        <v>4660.5780000000004</v>
      </c>
      <c r="K58" s="121">
        <f t="shared" si="20"/>
        <v>0.64800000000000002</v>
      </c>
      <c r="L58">
        <f t="shared" si="21"/>
        <v>6.4426387120928477E-2</v>
      </c>
      <c r="M58" s="122"/>
      <c r="N58" s="12">
        <f t="shared" si="22"/>
        <v>0</v>
      </c>
      <c r="O58" s="18">
        <f t="shared" si="23"/>
        <v>0</v>
      </c>
      <c r="P58" s="18">
        <f t="shared" si="24"/>
        <v>0</v>
      </c>
      <c r="R58" s="168">
        <f t="shared" si="25"/>
        <v>50</v>
      </c>
      <c r="S58" s="170">
        <f t="shared" si="26"/>
        <v>7176.759</v>
      </c>
      <c r="T58" s="172">
        <f t="shared" si="27"/>
        <v>4302.0720000000001</v>
      </c>
      <c r="U58" s="164">
        <f t="shared" si="28"/>
        <v>4660.5780000000004</v>
      </c>
      <c r="V58">
        <f t="shared" si="29"/>
        <v>0.59944495837187795</v>
      </c>
      <c r="W58">
        <f t="shared" si="30"/>
        <v>0.64939870490286777</v>
      </c>
    </row>
    <row r="59" spans="1:23" hidden="1">
      <c r="A59" s="1">
        <v>60</v>
      </c>
      <c r="B59" s="24">
        <v>7800</v>
      </c>
      <c r="C59" s="18">
        <f t="shared" si="17"/>
        <v>5054.3999999999996</v>
      </c>
      <c r="D59" s="12">
        <f t="shared" si="16"/>
        <v>106840</v>
      </c>
      <c r="E59" s="19">
        <f t="shared" si="18"/>
        <v>109916.992</v>
      </c>
      <c r="G59" s="1" t="s">
        <v>28</v>
      </c>
      <c r="H59" s="18">
        <f>H56*H58</f>
        <v>0</v>
      </c>
      <c r="I59" s="5" t="s">
        <v>29</v>
      </c>
      <c r="J59" s="18">
        <f t="shared" si="19"/>
        <v>5475.6</v>
      </c>
      <c r="K59" s="121">
        <f t="shared" si="20"/>
        <v>0.64799999999999991</v>
      </c>
      <c r="L59">
        <f t="shared" si="21"/>
        <v>6.3077499064020964E-2</v>
      </c>
      <c r="M59" s="123"/>
      <c r="N59" s="12">
        <f t="shared" si="22"/>
        <v>0</v>
      </c>
      <c r="O59" s="18">
        <f t="shared" si="23"/>
        <v>0</v>
      </c>
      <c r="P59" s="18">
        <f t="shared" si="24"/>
        <v>0</v>
      </c>
      <c r="R59" s="169">
        <f t="shared" si="25"/>
        <v>60</v>
      </c>
      <c r="S59" s="171">
        <f t="shared" si="26"/>
        <v>8431.7999999999993</v>
      </c>
      <c r="T59" s="43">
        <f t="shared" si="27"/>
        <v>5054.3999999999996</v>
      </c>
      <c r="U59" s="165">
        <f t="shared" si="28"/>
        <v>5475.6</v>
      </c>
    </row>
    <row r="60" spans="1:23" hidden="1">
      <c r="K60" s="41"/>
      <c r="L60" s="41"/>
      <c r="N60" s="113">
        <f>SUM(N50:N59)</f>
        <v>0</v>
      </c>
      <c r="O60" s="125">
        <f>SUM(O50:O59)</f>
        <v>0</v>
      </c>
      <c r="P60" s="125">
        <f>SUM(P50:P59)</f>
        <v>0</v>
      </c>
    </row>
    <row r="61" spans="1:23" ht="30" hidden="1">
      <c r="A61" s="6" t="s">
        <v>3</v>
      </c>
      <c r="B61" s="74" t="s">
        <v>4</v>
      </c>
      <c r="C61" s="25"/>
      <c r="D61" s="25"/>
      <c r="E61" s="25"/>
      <c r="F61" s="25"/>
      <c r="G61" s="75"/>
      <c r="H61" s="3"/>
      <c r="I61" s="3"/>
      <c r="J61" s="81">
        <f>J50/A50</f>
        <v>386.80200000000002</v>
      </c>
      <c r="K61" s="3"/>
      <c r="L61" s="3"/>
      <c r="M61" s="3"/>
      <c r="N61" s="126">
        <f>N60/1000/8760</f>
        <v>0</v>
      </c>
      <c r="O61" s="25" t="e">
        <f>O60/N60</f>
        <v>#DIV/0!</v>
      </c>
      <c r="P61" s="25"/>
      <c r="Q61" s="25"/>
      <c r="R61" s="25"/>
      <c r="S61" s="3"/>
    </row>
    <row r="62" spans="1:23" hidden="1">
      <c r="C62" s="3"/>
      <c r="D62" s="3"/>
      <c r="J62" s="81">
        <f t="shared" ref="J62:J70" si="31">J51/A51</f>
        <v>257.86800000000005</v>
      </c>
      <c r="L62" s="76"/>
      <c r="M62" s="3"/>
      <c r="N62" s="4" t="s">
        <v>228</v>
      </c>
      <c r="O62" s="3">
        <f>N61*0.95</f>
        <v>0</v>
      </c>
      <c r="P62" s="3"/>
      <c r="Q62" s="3"/>
      <c r="R62" s="3"/>
      <c r="S62" s="3"/>
    </row>
    <row r="63" spans="1:23" s="29" customFormat="1" ht="30" hidden="1">
      <c r="A63" s="7" t="str">
        <f>D5</f>
        <v>VFD Rated HP</v>
      </c>
      <c r="B63" s="74" t="s">
        <v>5</v>
      </c>
      <c r="C63" s="25"/>
      <c r="D63" s="77"/>
      <c r="J63" s="81">
        <f t="shared" si="31"/>
        <v>198.45540000000003</v>
      </c>
      <c r="N63" s="29">
        <f>0.0235*N60+0.005*N60</f>
        <v>0</v>
      </c>
      <c r="O63" s="29">
        <f>4.7*0.15</f>
        <v>0.70499999999999996</v>
      </c>
      <c r="P63" s="80"/>
      <c r="Q63" s="80"/>
      <c r="R63" s="80"/>
      <c r="S63" s="80"/>
    </row>
    <row r="64" spans="1:23" hidden="1">
      <c r="A64">
        <v>5</v>
      </c>
      <c r="B64" t="s">
        <v>9</v>
      </c>
      <c r="C64" s="3"/>
      <c r="D64" s="81"/>
      <c r="J64" s="81">
        <f t="shared" si="31"/>
        <v>149.10480000000001</v>
      </c>
      <c r="N64" s="5">
        <f>P60-O60</f>
        <v>0</v>
      </c>
      <c r="P64" s="3"/>
      <c r="Q64" s="3"/>
      <c r="R64" s="3"/>
      <c r="S64" s="3"/>
    </row>
    <row r="65" spans="1:19" ht="30" hidden="1">
      <c r="A65" s="7" t="str">
        <f>A63</f>
        <v>VFD Rated HP</v>
      </c>
      <c r="B65" s="74" t="s">
        <v>5</v>
      </c>
      <c r="C65" s="25"/>
      <c r="D65" s="81"/>
      <c r="J65" s="81">
        <f t="shared" si="31"/>
        <v>123.02550000000001</v>
      </c>
      <c r="N65" s="127" t="e">
        <f>N64/N63</f>
        <v>#DIV/0!</v>
      </c>
      <c r="P65" s="3"/>
      <c r="Q65" s="80"/>
      <c r="R65" s="3"/>
      <c r="S65" s="3"/>
    </row>
    <row r="66" spans="1:19" hidden="1">
      <c r="A66">
        <v>7.5</v>
      </c>
      <c r="B66" t="s">
        <v>9</v>
      </c>
      <c r="C66" s="3"/>
      <c r="D66" s="81"/>
      <c r="J66" s="81">
        <f t="shared" si="31"/>
        <v>118.30104000000001</v>
      </c>
      <c r="P66" s="3"/>
      <c r="Q66" s="3"/>
      <c r="R66" s="3"/>
      <c r="S66" s="3"/>
    </row>
    <row r="67" spans="1:19" ht="30" hidden="1">
      <c r="A67" s="7" t="str">
        <f>A65</f>
        <v>VFD Rated HP</v>
      </c>
      <c r="B67" s="74" t="s">
        <v>5</v>
      </c>
      <c r="C67" s="25"/>
      <c r="D67" s="81"/>
      <c r="J67" s="81">
        <f t="shared" si="31"/>
        <v>112.76460000000002</v>
      </c>
      <c r="P67" s="3"/>
      <c r="Q67" s="80"/>
      <c r="R67" s="3"/>
      <c r="S67" s="3"/>
    </row>
    <row r="68" spans="1:19" hidden="1">
      <c r="A68">
        <v>10</v>
      </c>
      <c r="B68" t="s">
        <v>9</v>
      </c>
      <c r="C68" s="3"/>
      <c r="D68" s="81"/>
      <c r="J68" s="81">
        <f t="shared" si="31"/>
        <v>97.823700000000002</v>
      </c>
      <c r="P68" s="3"/>
      <c r="Q68" s="3"/>
      <c r="R68" s="3"/>
      <c r="S68" s="3"/>
    </row>
    <row r="69" spans="1:19" ht="30" hidden="1">
      <c r="A69" s="7" t="str">
        <f>A67</f>
        <v>VFD Rated HP</v>
      </c>
      <c r="B69" s="74" t="s">
        <v>5</v>
      </c>
      <c r="C69" s="25"/>
      <c r="D69" s="81"/>
      <c r="J69" s="81">
        <f t="shared" si="31"/>
        <v>93.211560000000006</v>
      </c>
      <c r="P69" s="3"/>
      <c r="Q69" s="80"/>
      <c r="R69" s="3"/>
      <c r="S69" s="3"/>
    </row>
    <row r="70" spans="1:19" hidden="1">
      <c r="A70">
        <v>15</v>
      </c>
      <c r="B70" t="s">
        <v>9</v>
      </c>
      <c r="C70" s="3"/>
      <c r="D70" s="81"/>
      <c r="J70" s="81">
        <f t="shared" si="31"/>
        <v>91.26</v>
      </c>
      <c r="P70" s="3"/>
      <c r="Q70" s="3"/>
      <c r="R70" s="3"/>
      <c r="S70" s="3"/>
    </row>
    <row r="71" spans="1:19" ht="30" hidden="1">
      <c r="A71" s="7" t="str">
        <f>A69</f>
        <v>VFD Rated HP</v>
      </c>
      <c r="B71" s="74" t="s">
        <v>5</v>
      </c>
      <c r="C71" s="25"/>
      <c r="D71" s="81"/>
      <c r="J71" s="81"/>
      <c r="P71" s="3"/>
      <c r="Q71" s="80"/>
      <c r="R71" s="3"/>
      <c r="S71" s="3"/>
    </row>
    <row r="72" spans="1:19" hidden="1">
      <c r="A72">
        <v>20</v>
      </c>
      <c r="B72" t="s">
        <v>9</v>
      </c>
      <c r="C72" s="3"/>
      <c r="D72" s="81"/>
      <c r="P72" s="3"/>
      <c r="Q72" s="3"/>
      <c r="R72" s="3"/>
      <c r="S72" s="3"/>
    </row>
    <row r="73" spans="1:19" ht="30" hidden="1">
      <c r="A73" s="7" t="str">
        <f>A71</f>
        <v>VFD Rated HP</v>
      </c>
      <c r="B73" s="74" t="s">
        <v>5</v>
      </c>
      <c r="C73" s="25"/>
      <c r="D73" s="81"/>
      <c r="P73" s="3"/>
      <c r="Q73" s="80"/>
      <c r="R73" s="3"/>
      <c r="S73" s="3"/>
    </row>
    <row r="74" spans="1:19" hidden="1">
      <c r="A74">
        <v>25</v>
      </c>
      <c r="B74" t="s">
        <v>9</v>
      </c>
      <c r="C74" s="3"/>
      <c r="D74" s="81"/>
      <c r="P74" s="3"/>
      <c r="Q74" s="3"/>
      <c r="R74" s="3"/>
      <c r="S74" s="3"/>
    </row>
    <row r="75" spans="1:19" ht="30" hidden="1">
      <c r="A75" s="7" t="str">
        <f>A73</f>
        <v>VFD Rated HP</v>
      </c>
      <c r="B75" s="74" t="s">
        <v>5</v>
      </c>
      <c r="C75" s="25"/>
      <c r="D75" s="81"/>
      <c r="P75" s="3"/>
      <c r="Q75" s="80"/>
      <c r="R75" s="3"/>
      <c r="S75" s="3"/>
    </row>
    <row r="76" spans="1:19" hidden="1">
      <c r="A76">
        <v>30</v>
      </c>
      <c r="B76" t="s">
        <v>9</v>
      </c>
      <c r="C76" s="3"/>
      <c r="D76" s="81"/>
      <c r="P76" s="3"/>
      <c r="Q76" s="3"/>
      <c r="R76" s="3"/>
      <c r="S76" s="3"/>
    </row>
    <row r="77" spans="1:19" ht="30" hidden="1">
      <c r="A77" s="7" t="str">
        <f>A75</f>
        <v>VFD Rated HP</v>
      </c>
      <c r="B77" s="74" t="s">
        <v>5</v>
      </c>
      <c r="C77" s="25"/>
      <c r="D77" s="81"/>
      <c r="P77" s="3"/>
      <c r="Q77" s="80"/>
      <c r="R77" s="3"/>
      <c r="S77" s="3"/>
    </row>
    <row r="78" spans="1:19" hidden="1">
      <c r="A78">
        <v>40</v>
      </c>
      <c r="B78" t="s">
        <v>9</v>
      </c>
      <c r="C78" s="3"/>
      <c r="D78" s="81"/>
      <c r="P78" s="3"/>
      <c r="Q78" s="3"/>
      <c r="R78" s="3"/>
      <c r="S78" s="3"/>
    </row>
    <row r="79" spans="1:19" ht="30" hidden="1">
      <c r="A79" s="7" t="str">
        <f>A77</f>
        <v>VFD Rated HP</v>
      </c>
      <c r="B79" s="74" t="s">
        <v>5</v>
      </c>
      <c r="C79" s="25"/>
      <c r="D79" s="81"/>
      <c r="P79" s="3"/>
      <c r="Q79" s="80"/>
      <c r="R79" s="3"/>
      <c r="S79" s="3"/>
    </row>
    <row r="80" spans="1:19" hidden="1">
      <c r="A80">
        <v>50</v>
      </c>
      <c r="B80" t="s">
        <v>9</v>
      </c>
      <c r="C80" s="3"/>
      <c r="D80" s="81"/>
      <c r="P80" s="3"/>
      <c r="Q80" s="3"/>
      <c r="R80" s="3"/>
      <c r="S80" s="3"/>
    </row>
    <row r="81" spans="1:20" ht="30" hidden="1">
      <c r="A81" s="7" t="str">
        <f>A79</f>
        <v>VFD Rated HP</v>
      </c>
      <c r="B81" s="74" t="s">
        <v>5</v>
      </c>
      <c r="C81" s="25"/>
      <c r="D81" s="81"/>
      <c r="E81" s="3"/>
      <c r="F81" s="81"/>
      <c r="G81" s="4"/>
      <c r="H81" s="3"/>
      <c r="I81" s="84"/>
      <c r="J81" s="3"/>
      <c r="K81" s="3"/>
      <c r="L81" s="3"/>
      <c r="M81" s="3"/>
      <c r="N81" s="4"/>
      <c r="O81" s="3"/>
      <c r="P81" s="3"/>
      <c r="Q81" s="80"/>
      <c r="R81" s="3"/>
      <c r="S81" s="3"/>
    </row>
    <row r="82" spans="1:20" hidden="1">
      <c r="A82" s="2">
        <v>60</v>
      </c>
      <c r="B82" s="2" t="s">
        <v>9</v>
      </c>
      <c r="C82" s="3"/>
      <c r="D82" s="81"/>
      <c r="E82" s="3"/>
      <c r="F82" s="81"/>
      <c r="G82" s="82"/>
      <c r="H82" s="83"/>
      <c r="I82" s="84"/>
      <c r="J82" s="83"/>
      <c r="K82" s="83"/>
      <c r="L82" s="3"/>
      <c r="M82" s="3"/>
      <c r="N82" s="83"/>
      <c r="O82" s="3"/>
      <c r="P82" s="3"/>
      <c r="Q82" s="3"/>
      <c r="R82" s="3"/>
      <c r="S82" s="3"/>
    </row>
    <row r="83" spans="1:20" hidden="1">
      <c r="C83" s="3"/>
      <c r="D83" s="81"/>
      <c r="E83" s="3"/>
      <c r="F83" s="81"/>
      <c r="G83" s="4"/>
      <c r="H83" s="85"/>
      <c r="I83" s="84"/>
      <c r="J83" s="3"/>
      <c r="K83" s="86"/>
      <c r="L83" s="85"/>
      <c r="M83" s="3"/>
      <c r="N83" s="83"/>
      <c r="O83" s="3"/>
      <c r="P83" s="3"/>
      <c r="Q83" s="3"/>
      <c r="R83" s="3"/>
      <c r="S83" s="3"/>
    </row>
    <row r="84" spans="1:20" s="29" customFormat="1" ht="30" hidden="1">
      <c r="A84" s="7" t="str">
        <f>D5</f>
        <v>VFD Rated HP</v>
      </c>
      <c r="B84" s="74" t="s">
        <v>5</v>
      </c>
      <c r="C84" s="25"/>
      <c r="D84" s="77"/>
      <c r="E84" s="78"/>
      <c r="F84" s="77"/>
      <c r="G84" s="79"/>
      <c r="H84" s="28"/>
      <c r="I84" s="28"/>
      <c r="J84" s="28"/>
      <c r="K84" s="28"/>
      <c r="L84" s="3"/>
      <c r="M84" s="3"/>
      <c r="N84" s="79"/>
      <c r="O84" s="80"/>
      <c r="P84" s="80"/>
      <c r="Q84" s="80"/>
      <c r="R84" s="80"/>
      <c r="S84" s="80"/>
      <c r="T84" s="80"/>
    </row>
    <row r="85" spans="1:20" hidden="1">
      <c r="A85">
        <v>5</v>
      </c>
      <c r="B85" t="s">
        <v>10</v>
      </c>
      <c r="C85" s="3"/>
      <c r="D85" s="81"/>
      <c r="E85" s="3"/>
      <c r="F85" s="81"/>
      <c r="G85" s="82"/>
      <c r="H85" s="83"/>
      <c r="I85" s="84"/>
      <c r="J85" s="83"/>
      <c r="K85" s="83"/>
      <c r="L85" s="3"/>
      <c r="M85" s="3"/>
      <c r="N85" s="83"/>
      <c r="O85" s="3"/>
      <c r="P85" s="3"/>
      <c r="Q85" s="3"/>
      <c r="R85" s="3"/>
      <c r="S85" s="3"/>
      <c r="T85" s="3"/>
    </row>
    <row r="86" spans="1:20" ht="30" hidden="1">
      <c r="A86" s="7" t="str">
        <f>A84</f>
        <v>VFD Rated HP</v>
      </c>
      <c r="B86" s="74" t="s">
        <v>5</v>
      </c>
      <c r="C86" s="25"/>
      <c r="D86" s="81"/>
      <c r="E86" s="3"/>
      <c r="F86" s="81"/>
      <c r="G86" s="4"/>
      <c r="H86" s="3"/>
      <c r="I86" s="84"/>
      <c r="J86" s="3"/>
      <c r="K86" s="3"/>
      <c r="L86" s="3"/>
      <c r="M86" s="3"/>
      <c r="N86" s="4"/>
      <c r="O86" s="3"/>
      <c r="P86" s="3"/>
      <c r="Q86" s="80"/>
      <c r="R86" s="3"/>
      <c r="S86" s="3"/>
      <c r="T86" s="3"/>
    </row>
    <row r="87" spans="1:20" hidden="1">
      <c r="A87">
        <v>7.5</v>
      </c>
      <c r="B87" t="str">
        <f>B85</f>
        <v>Cond</v>
      </c>
      <c r="C87" s="3"/>
      <c r="D87" s="81"/>
      <c r="E87" s="3"/>
      <c r="F87" s="81"/>
      <c r="G87" s="82"/>
      <c r="H87" s="83"/>
      <c r="I87" s="84"/>
      <c r="J87" s="83"/>
      <c r="K87" s="83"/>
      <c r="L87" s="3"/>
      <c r="M87" s="3"/>
      <c r="N87" s="83"/>
      <c r="O87" s="3"/>
      <c r="P87" s="3"/>
      <c r="Q87" s="3"/>
      <c r="R87" s="3"/>
      <c r="S87" s="3"/>
      <c r="T87" s="3"/>
    </row>
    <row r="88" spans="1:20" ht="30" hidden="1">
      <c r="A88" s="7" t="str">
        <f>A86</f>
        <v>VFD Rated HP</v>
      </c>
      <c r="B88" s="74" t="s">
        <v>5</v>
      </c>
      <c r="C88" s="25"/>
      <c r="D88" s="81"/>
      <c r="E88" s="3"/>
      <c r="F88" s="81"/>
      <c r="G88" s="4"/>
      <c r="H88" s="3"/>
      <c r="I88" s="84"/>
      <c r="J88" s="3"/>
      <c r="K88" s="3"/>
      <c r="L88" s="3"/>
      <c r="M88" s="3"/>
      <c r="N88" s="4"/>
      <c r="O88" s="3"/>
      <c r="P88" s="3"/>
      <c r="Q88" s="80"/>
      <c r="R88" s="3"/>
      <c r="S88" s="3"/>
      <c r="T88" s="3"/>
    </row>
    <row r="89" spans="1:20" hidden="1">
      <c r="A89">
        <v>10</v>
      </c>
      <c r="B89" t="str">
        <f>B87</f>
        <v>Cond</v>
      </c>
      <c r="C89" s="3"/>
      <c r="D89" s="81"/>
      <c r="E89" s="3"/>
      <c r="F89" s="81"/>
      <c r="G89" s="82"/>
      <c r="H89" s="83"/>
      <c r="I89" s="84"/>
      <c r="J89" s="83"/>
      <c r="K89" s="83"/>
      <c r="L89" s="3"/>
      <c r="M89" s="3"/>
      <c r="N89" s="83"/>
      <c r="O89" s="3"/>
      <c r="P89" s="3"/>
      <c r="Q89" s="3"/>
      <c r="R89" s="3"/>
      <c r="S89" s="3"/>
      <c r="T89" s="3"/>
    </row>
    <row r="90" spans="1:20" ht="30" hidden="1">
      <c r="A90" s="7" t="str">
        <f>A88</f>
        <v>VFD Rated HP</v>
      </c>
      <c r="B90" s="74" t="s">
        <v>5</v>
      </c>
      <c r="C90" s="25"/>
      <c r="D90" s="81"/>
      <c r="E90" s="3"/>
      <c r="F90" s="81"/>
      <c r="G90" s="4"/>
      <c r="H90" s="3"/>
      <c r="I90" s="84"/>
      <c r="J90" s="3"/>
      <c r="K90" s="3"/>
      <c r="L90" s="3"/>
      <c r="M90" s="3"/>
      <c r="N90" s="4"/>
      <c r="O90" s="3"/>
      <c r="P90" s="3"/>
      <c r="Q90" s="80"/>
      <c r="R90" s="3"/>
      <c r="S90" s="3"/>
      <c r="T90" s="3"/>
    </row>
    <row r="91" spans="1:20" hidden="1">
      <c r="A91">
        <v>15</v>
      </c>
      <c r="B91" t="str">
        <f>B89</f>
        <v>Cond</v>
      </c>
      <c r="C91" s="3"/>
      <c r="D91" s="81"/>
      <c r="E91" s="3"/>
      <c r="F91" s="81"/>
      <c r="G91" s="82"/>
      <c r="H91" s="83"/>
      <c r="I91" s="84"/>
      <c r="J91" s="83"/>
      <c r="K91" s="83"/>
      <c r="L91" s="3"/>
      <c r="M91" s="3"/>
      <c r="N91" s="83"/>
      <c r="O91" s="3"/>
      <c r="P91" s="3"/>
      <c r="Q91" s="3"/>
      <c r="R91" s="3"/>
      <c r="S91" s="3"/>
      <c r="T91" s="3"/>
    </row>
    <row r="92" spans="1:20" ht="30" hidden="1">
      <c r="A92" s="7" t="str">
        <f>A90</f>
        <v>VFD Rated HP</v>
      </c>
      <c r="B92" s="74" t="s">
        <v>5</v>
      </c>
      <c r="C92" s="25"/>
      <c r="D92" s="81"/>
      <c r="E92" s="3"/>
      <c r="F92" s="81"/>
      <c r="G92" s="4"/>
      <c r="H92" s="3"/>
      <c r="I92" s="84"/>
      <c r="J92" s="3"/>
      <c r="K92" s="3"/>
      <c r="L92" s="3"/>
      <c r="M92" s="3"/>
      <c r="N92" s="4"/>
      <c r="O92" s="3"/>
      <c r="P92" s="3"/>
      <c r="Q92" s="80"/>
      <c r="R92" s="3"/>
      <c r="S92" s="3"/>
      <c r="T92" s="3"/>
    </row>
    <row r="93" spans="1:20" hidden="1">
      <c r="A93">
        <v>20</v>
      </c>
      <c r="B93" t="str">
        <f>B91</f>
        <v>Cond</v>
      </c>
      <c r="C93" s="3"/>
      <c r="D93" s="81"/>
      <c r="E93" s="3"/>
      <c r="F93" s="81"/>
      <c r="G93" s="82"/>
      <c r="H93" s="83"/>
      <c r="I93" s="84"/>
      <c r="J93" s="83"/>
      <c r="K93" s="83"/>
      <c r="L93" s="3"/>
      <c r="M93" s="3"/>
      <c r="N93" s="83"/>
      <c r="O93" s="3"/>
      <c r="P93" s="3"/>
      <c r="Q93" s="3"/>
      <c r="R93" s="3"/>
      <c r="S93" s="3"/>
      <c r="T93" s="3"/>
    </row>
    <row r="94" spans="1:20" ht="30" hidden="1">
      <c r="A94" s="7" t="str">
        <f>A92</f>
        <v>VFD Rated HP</v>
      </c>
      <c r="B94" s="74" t="s">
        <v>5</v>
      </c>
      <c r="C94" s="25"/>
      <c r="D94" s="81"/>
      <c r="E94" s="3"/>
      <c r="F94" s="81"/>
      <c r="G94" s="4"/>
      <c r="H94" s="3"/>
      <c r="I94" s="84"/>
      <c r="J94" s="3"/>
      <c r="K94" s="3"/>
      <c r="L94" s="3"/>
      <c r="M94" s="3"/>
      <c r="N94" s="4"/>
      <c r="O94" s="3"/>
      <c r="P94" s="3"/>
      <c r="Q94" s="80"/>
      <c r="R94" s="3"/>
      <c r="S94" s="3"/>
      <c r="T94" s="3"/>
    </row>
    <row r="95" spans="1:20" hidden="1">
      <c r="A95">
        <v>25</v>
      </c>
      <c r="B95" t="str">
        <f>B93</f>
        <v>Cond</v>
      </c>
      <c r="C95" s="3"/>
      <c r="D95" s="81"/>
      <c r="E95" s="3"/>
      <c r="F95" s="81"/>
      <c r="G95" s="82"/>
      <c r="H95" s="83"/>
      <c r="I95" s="84"/>
      <c r="J95" s="83"/>
      <c r="K95" s="83"/>
      <c r="L95" s="3"/>
      <c r="M95" s="3"/>
      <c r="N95" s="83"/>
      <c r="O95" s="3"/>
      <c r="P95" s="3"/>
      <c r="Q95" s="3"/>
      <c r="R95" s="3"/>
      <c r="S95" s="3"/>
      <c r="T95" s="3"/>
    </row>
    <row r="96" spans="1:20" ht="30" hidden="1">
      <c r="A96" s="7" t="str">
        <f>A94</f>
        <v>VFD Rated HP</v>
      </c>
      <c r="B96" s="74" t="s">
        <v>5</v>
      </c>
      <c r="C96" s="25"/>
      <c r="D96" s="81"/>
      <c r="E96" s="3"/>
      <c r="F96" s="81"/>
      <c r="G96" s="4"/>
      <c r="H96" s="3"/>
      <c r="I96" s="84"/>
      <c r="J96" s="3"/>
      <c r="K96" s="3"/>
      <c r="L96" s="3"/>
      <c r="M96" s="3"/>
      <c r="N96" s="4"/>
      <c r="O96" s="3"/>
      <c r="P96" s="3"/>
      <c r="Q96" s="80"/>
      <c r="R96" s="3"/>
      <c r="S96" s="3"/>
      <c r="T96" s="3"/>
    </row>
    <row r="97" spans="1:20" hidden="1">
      <c r="A97">
        <v>30</v>
      </c>
      <c r="B97" t="str">
        <f>B95</f>
        <v>Cond</v>
      </c>
      <c r="C97" s="3"/>
      <c r="D97" s="81"/>
      <c r="E97" s="3"/>
      <c r="F97" s="81"/>
      <c r="G97" s="82"/>
      <c r="H97" s="83"/>
      <c r="I97" s="84"/>
      <c r="J97" s="83"/>
      <c r="K97" s="83"/>
      <c r="L97" s="3"/>
      <c r="M97" s="3"/>
      <c r="N97" s="83"/>
      <c r="O97" s="3"/>
      <c r="P97" s="3"/>
      <c r="Q97" s="3"/>
      <c r="R97" s="3"/>
      <c r="S97" s="3"/>
      <c r="T97" s="3"/>
    </row>
    <row r="98" spans="1:20" ht="30" hidden="1">
      <c r="A98" s="7" t="str">
        <f>A96</f>
        <v>VFD Rated HP</v>
      </c>
      <c r="B98" s="74" t="s">
        <v>5</v>
      </c>
      <c r="C98" s="25"/>
      <c r="D98" s="81"/>
      <c r="E98" s="3"/>
      <c r="F98" s="81"/>
      <c r="G98" s="4"/>
      <c r="H98" s="3"/>
      <c r="I98" s="84"/>
      <c r="J98" s="3"/>
      <c r="K98" s="3"/>
      <c r="L98" s="3"/>
      <c r="M98" s="3"/>
      <c r="N98" s="4"/>
      <c r="O98" s="3"/>
      <c r="P98" s="3"/>
      <c r="Q98" s="80"/>
      <c r="R98" s="3"/>
      <c r="S98" s="3"/>
      <c r="T98" s="3"/>
    </row>
    <row r="99" spans="1:20" hidden="1">
      <c r="A99">
        <v>40</v>
      </c>
      <c r="B99" t="str">
        <f>B97</f>
        <v>Cond</v>
      </c>
      <c r="C99" s="3"/>
      <c r="D99" s="81"/>
      <c r="E99" s="3"/>
      <c r="F99" s="81"/>
      <c r="G99" s="82"/>
      <c r="H99" s="83"/>
      <c r="I99" s="84"/>
      <c r="J99" s="83"/>
      <c r="K99" s="83"/>
      <c r="L99" s="3"/>
      <c r="M99" s="3"/>
      <c r="N99" s="83"/>
      <c r="O99" s="3"/>
      <c r="P99" s="3"/>
      <c r="Q99" s="3"/>
      <c r="R99" s="3"/>
      <c r="S99" s="3"/>
      <c r="T99" s="3"/>
    </row>
    <row r="100" spans="1:20" ht="30" hidden="1">
      <c r="A100" s="7" t="str">
        <f>A98</f>
        <v>VFD Rated HP</v>
      </c>
      <c r="B100" s="74" t="s">
        <v>5</v>
      </c>
      <c r="C100" s="25"/>
      <c r="D100" s="81"/>
      <c r="E100" s="3"/>
      <c r="F100" s="81"/>
      <c r="G100" s="4"/>
      <c r="H100" s="3"/>
      <c r="I100" s="84"/>
      <c r="J100" s="3"/>
      <c r="K100" s="3"/>
      <c r="L100" s="3"/>
      <c r="M100" s="3"/>
      <c r="N100" s="4"/>
      <c r="O100" s="3"/>
      <c r="P100" s="3"/>
      <c r="Q100" s="80"/>
      <c r="R100" s="3"/>
      <c r="S100" s="3"/>
      <c r="T100" s="3"/>
    </row>
    <row r="101" spans="1:20" hidden="1">
      <c r="A101">
        <v>50</v>
      </c>
      <c r="B101" t="str">
        <f>B99</f>
        <v>Cond</v>
      </c>
      <c r="C101" s="3"/>
      <c r="D101" s="81"/>
      <c r="E101" s="3"/>
      <c r="F101" s="81"/>
      <c r="G101" s="82"/>
      <c r="H101" s="83"/>
      <c r="I101" s="84"/>
      <c r="J101" s="3"/>
      <c r="K101" s="3"/>
      <c r="L101" s="3"/>
      <c r="M101" s="3"/>
      <c r="N101" s="83"/>
      <c r="O101" s="3"/>
      <c r="P101" s="3"/>
      <c r="Q101" s="3"/>
      <c r="R101" s="3"/>
      <c r="S101" s="3"/>
      <c r="T101" s="3"/>
    </row>
    <row r="102" spans="1:20" ht="30" hidden="1">
      <c r="A102" s="7" t="str">
        <f>A100</f>
        <v>VFD Rated HP</v>
      </c>
      <c r="B102" s="74" t="s">
        <v>5</v>
      </c>
      <c r="C102" s="25"/>
      <c r="D102" s="81"/>
      <c r="E102" s="3"/>
      <c r="F102" s="81"/>
      <c r="G102" s="4"/>
      <c r="H102" s="3"/>
      <c r="I102" s="84"/>
      <c r="J102" s="3"/>
      <c r="K102" s="3"/>
      <c r="L102" s="3"/>
      <c r="M102" s="3"/>
      <c r="N102" s="4"/>
      <c r="O102" s="3"/>
      <c r="P102" s="3"/>
      <c r="Q102" s="80"/>
      <c r="R102" s="3"/>
      <c r="S102" s="3"/>
      <c r="T102" s="3"/>
    </row>
    <row r="103" spans="1:20" hidden="1">
      <c r="A103" s="2">
        <v>60</v>
      </c>
      <c r="B103" t="str">
        <f>B101</f>
        <v>Cond</v>
      </c>
      <c r="C103" s="3"/>
      <c r="D103" s="81"/>
      <c r="E103" s="3"/>
      <c r="F103" s="81"/>
      <c r="G103" s="82"/>
      <c r="H103" s="83"/>
      <c r="I103" s="84"/>
      <c r="J103" s="83"/>
      <c r="K103" s="83"/>
      <c r="L103" s="3"/>
      <c r="M103" s="3"/>
      <c r="N103" s="83"/>
      <c r="O103" s="3"/>
      <c r="P103" s="3"/>
      <c r="Q103" s="3"/>
      <c r="R103" s="3"/>
      <c r="S103" s="3"/>
      <c r="T103" s="3"/>
    </row>
    <row r="104" spans="1:20">
      <c r="C104" s="3"/>
      <c r="D104" s="3"/>
      <c r="E104" s="3"/>
      <c r="F104" s="3"/>
      <c r="G104" s="3"/>
      <c r="H104" s="4"/>
      <c r="I104" s="3"/>
      <c r="J104" s="3"/>
      <c r="K104" s="3"/>
      <c r="L104" s="3"/>
      <c r="M104" s="3"/>
      <c r="N104" s="3"/>
      <c r="O104" s="4"/>
      <c r="P104" s="3"/>
      <c r="Q104" s="3"/>
      <c r="R104" s="3"/>
      <c r="S104" s="3"/>
      <c r="T104" s="3"/>
    </row>
    <row r="105" spans="1:20">
      <c r="C105" s="3"/>
      <c r="D105" s="3"/>
      <c r="E105" s="3"/>
      <c r="F105" s="3"/>
      <c r="G105" s="3"/>
      <c r="H105" s="4"/>
      <c r="I105" s="3"/>
      <c r="J105" s="3"/>
      <c r="K105" s="3"/>
      <c r="L105" s="3"/>
      <c r="M105" s="3"/>
      <c r="N105" s="3"/>
      <c r="O105" s="4"/>
      <c r="P105" s="3"/>
      <c r="Q105" s="3"/>
      <c r="R105" s="3"/>
      <c r="S105" s="3"/>
      <c r="T105" s="3"/>
    </row>
    <row r="106" spans="1:20">
      <c r="C106" s="3"/>
      <c r="D106" s="3"/>
      <c r="E106" s="3"/>
      <c r="F106" s="3"/>
      <c r="G106" s="3"/>
      <c r="H106" s="4"/>
      <c r="I106" s="3"/>
      <c r="J106" s="3"/>
      <c r="K106" s="3"/>
      <c r="L106" s="3"/>
      <c r="M106" s="3"/>
      <c r="N106" s="3"/>
      <c r="O106" s="4"/>
      <c r="P106" s="3"/>
      <c r="Q106" s="3"/>
      <c r="R106" s="3"/>
      <c r="S106" s="3"/>
      <c r="T106" s="3"/>
    </row>
    <row r="107" spans="1:20">
      <c r="C107" s="3"/>
      <c r="D107" s="3"/>
      <c r="E107" s="3"/>
      <c r="F107" s="3"/>
      <c r="G107" s="4"/>
      <c r="H107" s="3"/>
      <c r="I107" s="3"/>
      <c r="J107" s="3"/>
      <c r="K107" s="3"/>
      <c r="L107" s="3"/>
      <c r="M107" s="3"/>
      <c r="N107" s="4"/>
      <c r="O107" s="3"/>
      <c r="P107" s="3"/>
      <c r="Q107" s="3"/>
      <c r="R107" s="3"/>
      <c r="S107" s="3"/>
      <c r="T107" s="3"/>
    </row>
    <row r="108" spans="1:20">
      <c r="C108" s="3"/>
      <c r="D108" s="3"/>
      <c r="E108" s="3"/>
      <c r="F108" s="3"/>
      <c r="G108" s="4"/>
      <c r="H108" s="3"/>
      <c r="I108" s="3"/>
      <c r="J108" s="3"/>
      <c r="K108" s="3"/>
      <c r="L108" s="3"/>
      <c r="M108" s="3"/>
      <c r="N108" s="4"/>
      <c r="O108" s="3"/>
      <c r="P108" s="3"/>
      <c r="Q108" s="3"/>
      <c r="R108" s="3"/>
      <c r="S108" s="3"/>
      <c r="T108" s="3"/>
    </row>
    <row r="109" spans="1:20">
      <c r="C109" s="3"/>
      <c r="D109" s="3"/>
      <c r="E109" s="3"/>
      <c r="F109" s="3"/>
      <c r="G109" s="4"/>
      <c r="H109" s="3"/>
      <c r="I109" s="3"/>
      <c r="J109" s="3"/>
      <c r="K109" s="3"/>
      <c r="L109" s="3"/>
      <c r="M109" s="3"/>
      <c r="N109" s="4"/>
      <c r="O109" s="3"/>
      <c r="P109" s="3"/>
      <c r="Q109" s="3"/>
      <c r="R109" s="3"/>
      <c r="S109" s="3"/>
      <c r="T109" s="3"/>
    </row>
    <row r="110" spans="1:20">
      <c r="C110" s="3"/>
      <c r="D110" s="3"/>
      <c r="E110" s="3"/>
      <c r="F110" s="3"/>
      <c r="G110" s="4"/>
      <c r="H110" s="3"/>
      <c r="I110" s="3"/>
      <c r="J110" s="3"/>
      <c r="K110" s="3"/>
      <c r="L110" s="3"/>
      <c r="M110" s="3"/>
      <c r="N110" s="4"/>
      <c r="O110" s="3"/>
      <c r="P110" s="3"/>
      <c r="Q110" s="3"/>
      <c r="R110" s="3"/>
      <c r="S110" s="3"/>
      <c r="T110" s="3"/>
    </row>
    <row r="111" spans="1:20">
      <c r="C111" s="3"/>
      <c r="D111" s="3"/>
      <c r="E111" s="3"/>
      <c r="F111" s="3"/>
      <c r="G111" s="4"/>
      <c r="H111" s="3"/>
      <c r="I111" s="3"/>
      <c r="J111" s="3"/>
      <c r="K111" s="3"/>
      <c r="L111" s="3"/>
      <c r="M111" s="3"/>
      <c r="N111" s="4"/>
      <c r="O111" s="3"/>
      <c r="P111" s="3"/>
      <c r="Q111" s="3"/>
      <c r="R111" s="3"/>
      <c r="S111" s="3"/>
      <c r="T111" s="3"/>
    </row>
    <row r="112" spans="1:20">
      <c r="C112" s="3"/>
      <c r="D112" s="3"/>
      <c r="E112" s="3"/>
      <c r="F112" s="3"/>
      <c r="G112" s="4"/>
      <c r="H112" s="3"/>
      <c r="I112" s="3"/>
      <c r="J112" s="3"/>
      <c r="K112" s="3"/>
      <c r="L112" s="3"/>
      <c r="M112" s="3"/>
      <c r="N112" s="4"/>
      <c r="O112" s="3"/>
      <c r="P112" s="3"/>
      <c r="Q112" s="3"/>
      <c r="R112" s="3"/>
      <c r="S112" s="3"/>
      <c r="T112" s="3"/>
    </row>
    <row r="113" spans="3:20">
      <c r="C113" s="3"/>
      <c r="D113" s="3"/>
      <c r="E113" s="3"/>
      <c r="F113" s="3"/>
      <c r="G113" s="4"/>
      <c r="H113" s="3"/>
      <c r="I113" s="3"/>
      <c r="J113" s="3"/>
      <c r="K113" s="3"/>
      <c r="L113" s="3"/>
      <c r="M113" s="3"/>
      <c r="N113" s="4"/>
      <c r="O113" s="3"/>
      <c r="P113" s="3"/>
      <c r="Q113" s="3"/>
      <c r="R113" s="3"/>
      <c r="S113" s="3"/>
      <c r="T113" s="3"/>
    </row>
    <row r="114" spans="3:20">
      <c r="C114" s="3"/>
      <c r="D114" s="3"/>
      <c r="E114" s="3"/>
      <c r="F114" s="3"/>
      <c r="G114" s="4"/>
      <c r="H114" s="3"/>
      <c r="I114" s="3"/>
      <c r="J114" s="3"/>
      <c r="K114" s="3"/>
      <c r="L114" s="3"/>
      <c r="M114" s="3"/>
      <c r="N114" s="4"/>
      <c r="O114" s="3"/>
      <c r="P114" s="3"/>
      <c r="Q114" s="3"/>
      <c r="R114" s="3"/>
      <c r="S114" s="3"/>
      <c r="T114" s="3"/>
    </row>
    <row r="115" spans="3:20">
      <c r="C115" s="3"/>
      <c r="D115" s="3"/>
      <c r="E115" s="3"/>
      <c r="F115" s="3"/>
      <c r="G115" s="4"/>
      <c r="H115" s="3"/>
      <c r="I115" s="3"/>
      <c r="J115" s="3"/>
      <c r="K115" s="3"/>
      <c r="L115" s="3"/>
      <c r="M115" s="3"/>
      <c r="N115" s="4"/>
      <c r="O115" s="3"/>
      <c r="P115" s="3"/>
      <c r="Q115" s="3"/>
      <c r="R115" s="3"/>
      <c r="S115" s="3"/>
      <c r="T115" s="3"/>
    </row>
    <row r="116" spans="3:20">
      <c r="C116" s="3"/>
      <c r="D116" s="3"/>
      <c r="E116" s="3"/>
      <c r="F116" s="3"/>
      <c r="G116" s="4"/>
      <c r="H116" s="3"/>
      <c r="I116" s="3"/>
      <c r="J116" s="3"/>
      <c r="K116" s="3"/>
      <c r="L116" s="3"/>
      <c r="M116" s="3"/>
      <c r="N116" s="4"/>
      <c r="O116" s="3"/>
      <c r="P116" s="3"/>
      <c r="Q116" s="3"/>
      <c r="R116" s="3"/>
      <c r="S116" s="3"/>
      <c r="T116" s="3"/>
    </row>
    <row r="117" spans="3:20">
      <c r="C117" s="3"/>
      <c r="D117" s="3"/>
      <c r="E117" s="3"/>
      <c r="F117" s="3"/>
      <c r="G117" s="4"/>
      <c r="H117" s="3"/>
      <c r="I117" s="3"/>
      <c r="J117" s="3"/>
      <c r="K117" s="3"/>
      <c r="L117" s="3"/>
      <c r="M117" s="3"/>
      <c r="N117" s="4"/>
      <c r="O117" s="3"/>
      <c r="P117" s="3"/>
      <c r="Q117" s="3"/>
      <c r="R117" s="3"/>
      <c r="S117" s="3"/>
      <c r="T117" s="3"/>
    </row>
    <row r="118" spans="3:20">
      <c r="C118" s="3"/>
      <c r="D118" s="3"/>
      <c r="E118" s="3"/>
      <c r="F118" s="3"/>
      <c r="G118" s="4"/>
      <c r="H118" s="3"/>
      <c r="I118" s="3"/>
      <c r="J118" s="3"/>
      <c r="K118" s="3"/>
      <c r="L118" s="3"/>
      <c r="M118" s="3"/>
      <c r="N118" s="4"/>
      <c r="O118" s="3"/>
      <c r="P118" s="3"/>
      <c r="Q118" s="3"/>
      <c r="R118" s="3"/>
      <c r="S118" s="3"/>
      <c r="T118" s="3"/>
    </row>
    <row r="119" spans="3:20">
      <c r="C119" s="3"/>
      <c r="D119" s="3"/>
      <c r="E119" s="3"/>
      <c r="F119" s="3"/>
      <c r="G119" s="4"/>
      <c r="H119" s="3"/>
      <c r="I119" s="3"/>
      <c r="J119" s="3"/>
      <c r="K119" s="3"/>
      <c r="L119" s="3"/>
      <c r="M119" s="3"/>
      <c r="N119" s="4"/>
      <c r="O119" s="3"/>
      <c r="P119" s="3"/>
      <c r="Q119" s="3"/>
      <c r="R119" s="3"/>
      <c r="S119" s="3"/>
      <c r="T119" s="3"/>
    </row>
    <row r="120" spans="3:20">
      <c r="C120" s="3"/>
      <c r="D120" s="3"/>
      <c r="E120" s="3"/>
      <c r="F120" s="3"/>
      <c r="G120" s="4"/>
      <c r="H120" s="3"/>
      <c r="I120" s="3"/>
      <c r="J120" s="3"/>
      <c r="K120" s="3"/>
      <c r="L120" s="3"/>
      <c r="M120" s="3"/>
      <c r="N120" s="4"/>
      <c r="O120" s="3"/>
      <c r="P120" s="3"/>
      <c r="Q120" s="3"/>
      <c r="R120" s="3"/>
      <c r="S120" s="3"/>
      <c r="T120" s="3"/>
    </row>
    <row r="121" spans="3:20">
      <c r="C121" s="3"/>
      <c r="D121" s="3"/>
      <c r="E121" s="3"/>
      <c r="F121" s="3"/>
      <c r="G121" s="4"/>
      <c r="H121" s="3"/>
      <c r="I121" s="3"/>
      <c r="J121" s="3"/>
      <c r="K121" s="3"/>
      <c r="L121" s="3"/>
      <c r="M121" s="3"/>
      <c r="N121" s="4"/>
      <c r="O121" s="3"/>
      <c r="P121" s="3"/>
      <c r="Q121" s="3"/>
      <c r="R121" s="3"/>
      <c r="S121" s="3"/>
      <c r="T121" s="3"/>
    </row>
  </sheetData>
  <sheetProtection insertRows="0"/>
  <printOptions horizontalCentered="1"/>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sheetPr codeName="Sheet2"/>
  <dimension ref="A1:J44"/>
  <sheetViews>
    <sheetView zoomScale="115" zoomScaleNormal="115" workbookViewId="0">
      <selection activeCell="A32" sqref="A32:H32"/>
    </sheetView>
  </sheetViews>
  <sheetFormatPr defaultRowHeight="15"/>
  <cols>
    <col min="1" max="1" width="6" style="241" customWidth="1"/>
    <col min="2" max="2" width="10.85546875" style="241" customWidth="1"/>
    <col min="3" max="3" width="13.28515625" style="241" customWidth="1"/>
    <col min="4" max="4" width="13.42578125" style="241" customWidth="1"/>
    <col min="5" max="5" width="14.140625" style="241" customWidth="1"/>
    <col min="6" max="6" width="12.5703125" style="241" customWidth="1"/>
    <col min="7" max="7" width="15.85546875" style="241" customWidth="1"/>
    <col min="8" max="8" width="13.140625" style="241" customWidth="1"/>
    <col min="9" max="9" width="12.28515625" style="241" bestFit="1" customWidth="1"/>
    <col min="10" max="10" width="11.5703125" style="241" customWidth="1"/>
    <col min="11" max="16384" width="9.140625" style="241"/>
  </cols>
  <sheetData>
    <row r="1" spans="1:10" ht="19.5" thickBot="1">
      <c r="A1" s="300" t="s">
        <v>222</v>
      </c>
      <c r="B1" s="300"/>
      <c r="C1" s="300"/>
      <c r="D1" s="300"/>
      <c r="E1" s="300"/>
      <c r="F1" s="300"/>
      <c r="G1" s="300"/>
      <c r="H1" s="300"/>
      <c r="I1" s="240"/>
    </row>
    <row r="2" spans="1:10" ht="12.75" customHeight="1">
      <c r="A2" s="242" t="s">
        <v>31</v>
      </c>
      <c r="B2" s="243"/>
      <c r="C2" s="243"/>
      <c r="D2" s="243"/>
      <c r="E2" s="243"/>
      <c r="F2" s="244" t="s">
        <v>88</v>
      </c>
      <c r="G2" s="244" t="s">
        <v>33</v>
      </c>
      <c r="H2" s="245"/>
    </row>
    <row r="3" spans="1:10" ht="17.25" customHeight="1">
      <c r="A3" s="306" t="str">
        <f>IF(CustMeas!E3="","Enter information on Input Sheet",CustMeas!E3)</f>
        <v>Enter information on Input Sheet</v>
      </c>
      <c r="B3" s="307"/>
      <c r="C3" s="307"/>
      <c r="D3" s="307"/>
      <c r="E3" s="307"/>
      <c r="F3" s="246" t="str">
        <f>IF(CustMeas!E12="","Enter information on Input Sheet",CustMeas!E12)</f>
        <v>Enter information on Input Sheet</v>
      </c>
      <c r="G3" s="304" t="str">
        <f>Data!B8</f>
        <v>Sch. 2, Commercial &gt;40 kW</v>
      </c>
      <c r="H3" s="305"/>
    </row>
    <row r="4" spans="1:10" ht="12.75" customHeight="1">
      <c r="A4" s="247" t="s">
        <v>35</v>
      </c>
      <c r="B4" s="248"/>
      <c r="C4" s="248"/>
      <c r="D4" s="248"/>
      <c r="E4" s="249"/>
      <c r="F4" s="250" t="s">
        <v>36</v>
      </c>
      <c r="G4" s="248"/>
      <c r="H4" s="251"/>
    </row>
    <row r="5" spans="1:10" ht="12.75" customHeight="1">
      <c r="A5" s="301" t="str">
        <f>IF(CustMeas!E7="","Enter information on Input Sheet",CustMeas!E7)</f>
        <v>Enter information on Input Sheet</v>
      </c>
      <c r="B5" s="302"/>
      <c r="C5" s="302"/>
      <c r="D5" s="302"/>
      <c r="E5" s="303"/>
      <c r="F5" s="304" t="str">
        <f>IF(CustMeas!E8="","Enter information on Input Sheet",CustMeas!E8)</f>
        <v>Enter information on Input Sheet</v>
      </c>
      <c r="G5" s="302"/>
      <c r="H5" s="305"/>
    </row>
    <row r="6" spans="1:10" ht="12.75" customHeight="1">
      <c r="A6" s="247" t="s">
        <v>37</v>
      </c>
      <c r="B6" s="248"/>
      <c r="C6" s="248"/>
      <c r="D6" s="248"/>
      <c r="E6" s="249"/>
      <c r="F6" s="250" t="s">
        <v>38</v>
      </c>
      <c r="G6" s="248"/>
      <c r="H6" s="251"/>
    </row>
    <row r="7" spans="1:10" ht="12.75" customHeight="1">
      <c r="A7" s="301" t="str">
        <f>IF(CustMeas!E9="","Enter information on Input Sheet",CustMeas!E9)</f>
        <v>Enter information on Input Sheet</v>
      </c>
      <c r="B7" s="302"/>
      <c r="C7" s="302"/>
      <c r="D7" s="302"/>
      <c r="E7" s="303"/>
      <c r="F7" s="304" t="str">
        <f>IF(CustMeas!E10="","Enter information on Input Sheet",CustMeas!E10)</f>
        <v>Enter information on Input Sheet</v>
      </c>
      <c r="G7" s="302"/>
      <c r="H7" s="305"/>
    </row>
    <row r="8" spans="1:10" ht="12.75" customHeight="1">
      <c r="A8" s="247" t="s">
        <v>39</v>
      </c>
      <c r="B8" s="252"/>
      <c r="C8" s="253"/>
      <c r="D8" s="250" t="s">
        <v>50</v>
      </c>
      <c r="E8" s="253"/>
      <c r="F8" s="250" t="s">
        <v>41</v>
      </c>
      <c r="G8" s="248"/>
      <c r="H8" s="251"/>
    </row>
    <row r="9" spans="1:10" ht="12.75" customHeight="1">
      <c r="A9" s="301" t="str">
        <f>IF(CustMeas!E11="","Enter information on Input Sheet",CustMeas!E11)</f>
        <v>Enter information on Input Sheet</v>
      </c>
      <c r="B9" s="302"/>
      <c r="C9" s="303"/>
      <c r="D9" s="308"/>
      <c r="E9" s="309"/>
      <c r="F9" s="304" t="str">
        <f>IF(CustMeas!E13="","Enter information on Input Sheet",CustMeas!E13)</f>
        <v>Enter information on Input Sheet</v>
      </c>
      <c r="G9" s="302"/>
      <c r="H9" s="305"/>
    </row>
    <row r="10" spans="1:10" ht="12.75" customHeight="1">
      <c r="A10" s="247" t="s">
        <v>43</v>
      </c>
      <c r="B10" s="248"/>
      <c r="C10" s="248"/>
      <c r="D10" s="248"/>
      <c r="E10" s="248"/>
      <c r="F10" s="248"/>
      <c r="G10" s="248"/>
      <c r="H10" s="251"/>
    </row>
    <row r="11" spans="1:10" ht="12.75" customHeight="1">
      <c r="A11" s="301" t="str">
        <f>IF(CustMeas!E16="","Enter information on Input Sheet",CustMeas!E16)</f>
        <v>Enter information on Input Sheet</v>
      </c>
      <c r="B11" s="302"/>
      <c r="C11" s="302"/>
      <c r="D11" s="302"/>
      <c r="E11" s="302"/>
      <c r="F11" s="302"/>
      <c r="G11" s="302"/>
      <c r="H11" s="305"/>
    </row>
    <row r="12" spans="1:10" ht="12.75" customHeight="1">
      <c r="A12" s="247" t="s">
        <v>44</v>
      </c>
      <c r="B12" s="248"/>
      <c r="C12" s="248"/>
      <c r="D12" s="249"/>
      <c r="E12" s="250" t="s">
        <v>36</v>
      </c>
      <c r="F12" s="248"/>
      <c r="G12" s="248"/>
      <c r="H12" s="251"/>
    </row>
    <row r="13" spans="1:10" ht="12.75" customHeight="1" thickBot="1">
      <c r="A13" s="306" t="str">
        <f>IF(CustMeas!E17="","Enter information on Input Sheet",CustMeas!E17)</f>
        <v>Enter information on Input Sheet</v>
      </c>
      <c r="B13" s="307"/>
      <c r="C13" s="307"/>
      <c r="D13" s="310"/>
      <c r="E13" s="311" t="str">
        <f>IF(CustMeas!E18="","Enter information on Input Sheet",CustMeas!E18)</f>
        <v>Enter information on Input Sheet</v>
      </c>
      <c r="F13" s="307"/>
      <c r="G13" s="307"/>
      <c r="H13" s="312"/>
    </row>
    <row r="14" spans="1:10" s="259" customFormat="1" ht="54.75" customHeight="1">
      <c r="A14" s="254"/>
      <c r="B14" s="255" t="s">
        <v>75</v>
      </c>
      <c r="C14" s="255" t="s">
        <v>77</v>
      </c>
      <c r="D14" s="255" t="s">
        <v>78</v>
      </c>
      <c r="E14" s="255" t="s">
        <v>76</v>
      </c>
      <c r="F14" s="255" t="s">
        <v>79</v>
      </c>
      <c r="G14" s="256" t="s">
        <v>80</v>
      </c>
      <c r="H14" s="257" t="s">
        <v>81</v>
      </c>
      <c r="I14" s="258"/>
      <c r="J14" s="258"/>
    </row>
    <row r="15" spans="1:10">
      <c r="A15" s="260"/>
      <c r="B15" s="261">
        <v>5</v>
      </c>
      <c r="C15" s="262">
        <f>IF(OR(Data!A$8=2,Data!A$8=3),'Evap Fan VFDs'!C50,'Evap Fan VFDs'!J50)</f>
        <v>1785.24</v>
      </c>
      <c r="D15" s="261">
        <f>DCOUNT('Evap Fan VFDs'!$A$5:$Q$42,'Evap Fan VFDs'!$D$5,'Evap Fan VFDs'!$A$63:$B$64)+DCOUNT('Evap Fan VFDs'!$A$5:$Q$42,'Evap Fan VFDs'!$D$5,'Evap Fan VFDs'!$A$84:$B$85)</f>
        <v>0</v>
      </c>
      <c r="E15" s="263">
        <f>IF(D15="","",C15*D15)</f>
        <v>0</v>
      </c>
      <c r="F15" s="261" t="str">
        <f>IF('Evap Fan VFDs'!M50=0,"",'Evap Fan VFDs'!M50)</f>
        <v/>
      </c>
      <c r="G15" s="263" t="str">
        <f>IF(F15="","",C15*F15)</f>
        <v/>
      </c>
      <c r="H15" s="264"/>
      <c r="I15" s="265"/>
      <c r="J15" s="266"/>
    </row>
    <row r="16" spans="1:10">
      <c r="A16" s="260"/>
      <c r="B16" s="261">
        <v>7.5</v>
      </c>
      <c r="C16" s="262">
        <f>IF(OR(Data!A$8=2,Data!A$8=3),'Evap Fan VFDs'!C51,'Evap Fan VFDs'!J51)</f>
        <v>1785.24</v>
      </c>
      <c r="D16" s="261">
        <f>DCOUNT('Evap Fan VFDs'!$A$5:$Q$42,'Evap Fan VFDs'!$D$5,'Evap Fan VFDs'!$A$65:$B$66)+DCOUNT('Evap Fan VFDs'!$A$5:$Q$42,'Evap Fan VFDs'!$D$5,'Evap Fan VFDs'!$A$86:$B$87)</f>
        <v>0</v>
      </c>
      <c r="E16" s="263">
        <f t="shared" ref="E16:E24" si="0">IF(D16="","",C16*D16)</f>
        <v>0</v>
      </c>
      <c r="F16" s="261" t="str">
        <f>IF('Evap Fan VFDs'!M51=0,"",'Evap Fan VFDs'!M51)</f>
        <v/>
      </c>
      <c r="G16" s="263" t="str">
        <f t="shared" ref="G16:G24" si="1">IF(F16="","",C16*F16)</f>
        <v/>
      </c>
      <c r="H16" s="264"/>
      <c r="I16" s="265"/>
      <c r="J16" s="266"/>
    </row>
    <row r="17" spans="1:10">
      <c r="A17" s="260"/>
      <c r="B17" s="261">
        <v>10</v>
      </c>
      <c r="C17" s="262">
        <f>IF(OR(Data!A$8=2,Data!A$8=3),'Evap Fan VFDs'!C52,'Evap Fan VFDs'!J52)</f>
        <v>1831.8960000000002</v>
      </c>
      <c r="D17" s="261">
        <f>DCOUNT('Evap Fan VFDs'!$A$5:$Q$42,'Evap Fan VFDs'!$D$5,'Evap Fan VFDs'!$A$67:$B$68)+DCOUNT('Evap Fan VFDs'!$A$5:$Q$42,'Evap Fan VFDs'!$D$5,'Evap Fan VFDs'!$A$88:$B$89)</f>
        <v>0</v>
      </c>
      <c r="E17" s="263">
        <f t="shared" si="0"/>
        <v>0</v>
      </c>
      <c r="F17" s="261" t="str">
        <f>IF('Evap Fan VFDs'!M52=0,"",'Evap Fan VFDs'!M52)</f>
        <v/>
      </c>
      <c r="G17" s="263" t="str">
        <f t="shared" si="1"/>
        <v/>
      </c>
      <c r="H17" s="264"/>
      <c r="I17" s="265"/>
      <c r="J17" s="266"/>
    </row>
    <row r="18" spans="1:10">
      <c r="A18" s="260"/>
      <c r="B18" s="261">
        <v>15</v>
      </c>
      <c r="C18" s="262">
        <f>IF(OR(Data!A$8=2,Data!A$8=3),'Evap Fan VFDs'!C53,'Evap Fan VFDs'!J53)</f>
        <v>2064.5279999999998</v>
      </c>
      <c r="D18" s="261">
        <f>DCOUNT('Evap Fan VFDs'!$A$5:$Q$42,'Evap Fan VFDs'!$D$5,'Evap Fan VFDs'!$A$69:$B$70)+DCOUNT('Evap Fan VFDs'!$A$5:$Q$42,'Evap Fan VFDs'!$D$5,'Evap Fan VFDs'!$A$90:$B$91)</f>
        <v>0</v>
      </c>
      <c r="E18" s="263">
        <f t="shared" si="0"/>
        <v>0</v>
      </c>
      <c r="F18" s="261" t="str">
        <f>IF('Evap Fan VFDs'!M53=0,"",'Evap Fan VFDs'!M53)</f>
        <v/>
      </c>
      <c r="G18" s="263" t="str">
        <f t="shared" si="1"/>
        <v/>
      </c>
      <c r="H18" s="264"/>
      <c r="I18" s="265"/>
      <c r="J18" s="266"/>
    </row>
    <row r="19" spans="1:10">
      <c r="A19" s="260"/>
      <c r="B19" s="261">
        <v>20</v>
      </c>
      <c r="C19" s="262">
        <f>IF(OR(Data!A$8=2,Data!A$8=3),'Evap Fan VFDs'!C54,'Evap Fan VFDs'!J54)</f>
        <v>2271.2399999999998</v>
      </c>
      <c r="D19" s="261">
        <f>DCOUNT('Evap Fan VFDs'!$A$5:$Q$42,'Evap Fan VFDs'!$D$5,'Evap Fan VFDs'!$A$71:$B$72)+DCOUNT('Evap Fan VFDs'!$A$5:$Q$42,'Evap Fan VFDs'!$D$5,'Evap Fan VFDs'!$A$92:$B$93)</f>
        <v>0</v>
      </c>
      <c r="E19" s="263">
        <f t="shared" si="0"/>
        <v>0</v>
      </c>
      <c r="F19" s="261" t="str">
        <f>IF('Evap Fan VFDs'!M54=0,"",'Evap Fan VFDs'!M54)</f>
        <v/>
      </c>
      <c r="G19" s="263" t="str">
        <f t="shared" si="1"/>
        <v/>
      </c>
      <c r="H19" s="264"/>
      <c r="I19" s="265"/>
      <c r="J19" s="266"/>
    </row>
    <row r="20" spans="1:10">
      <c r="A20" s="260"/>
      <c r="B20" s="261">
        <v>25</v>
      </c>
      <c r="C20" s="262">
        <f>IF(OR(Data!A$8=2,Data!A$8=3),'Evap Fan VFDs'!C55,'Evap Fan VFDs'!J55)</f>
        <v>2730.0239999999999</v>
      </c>
      <c r="D20" s="261">
        <f>DCOUNT('Evap Fan VFDs'!$A$5:$Q$42,'Evap Fan VFDs'!$D$5,'Evap Fan VFDs'!$A$73:$B$74)+DCOUNT('Evap Fan VFDs'!$A$5:$Q$42,'Evap Fan VFDs'!$D$5,'Evap Fan VFDs'!$A$94:$B$95)</f>
        <v>0</v>
      </c>
      <c r="E20" s="263">
        <f t="shared" si="0"/>
        <v>0</v>
      </c>
      <c r="F20" s="261" t="str">
        <f>IF('Evap Fan VFDs'!M55=0,"",'Evap Fan VFDs'!M55)</f>
        <v/>
      </c>
      <c r="G20" s="263" t="str">
        <f t="shared" si="1"/>
        <v/>
      </c>
      <c r="H20" s="264"/>
      <c r="I20" s="265"/>
      <c r="J20" s="266"/>
    </row>
    <row r="21" spans="1:10">
      <c r="A21" s="260"/>
      <c r="B21" s="261">
        <v>30</v>
      </c>
      <c r="C21" s="262">
        <f>IF(OR(Data!A$8=2,Data!A$8=3),'Evap Fan VFDs'!C56,'Evap Fan VFDs'!J56)</f>
        <v>3122.712</v>
      </c>
      <c r="D21" s="261">
        <f>DCOUNT('Evap Fan VFDs'!$A$5:$Q$42,'Evap Fan VFDs'!$D$5,'Evap Fan VFDs'!$A$75:$B$76)+DCOUNT('Evap Fan VFDs'!$A$5:$Q$42,'Evap Fan VFDs'!$D$5,'Evap Fan VFDs'!$A$96:$B$97)</f>
        <v>0</v>
      </c>
      <c r="E21" s="263">
        <f t="shared" si="0"/>
        <v>0</v>
      </c>
      <c r="F21" s="261" t="str">
        <f>IF('Evap Fan VFDs'!M56=0,"",'Evap Fan VFDs'!M56)</f>
        <v/>
      </c>
      <c r="G21" s="263" t="str">
        <f t="shared" si="1"/>
        <v/>
      </c>
      <c r="H21" s="264"/>
      <c r="I21" s="265"/>
      <c r="J21" s="266"/>
    </row>
    <row r="22" spans="1:10">
      <c r="A22" s="260"/>
      <c r="B22" s="261">
        <v>40</v>
      </c>
      <c r="C22" s="262">
        <f>IF(OR(Data!A$8=2,Data!A$8=3),'Evap Fan VFDs'!C57,'Evap Fan VFDs'!J57)</f>
        <v>3611.9519999999998</v>
      </c>
      <c r="D22" s="261">
        <f>DCOUNT('Evap Fan VFDs'!$A$5:$Q$42,'Evap Fan VFDs'!$D$5,'Evap Fan VFDs'!$A$77:$B$78)+DCOUNT('Evap Fan VFDs'!$A$5:$Q$42,'Evap Fan VFDs'!$D$5,'Evap Fan VFDs'!$A$98:$B$99)</f>
        <v>0</v>
      </c>
      <c r="E22" s="263">
        <f t="shared" si="0"/>
        <v>0</v>
      </c>
      <c r="F22" s="261" t="str">
        <f>IF('Evap Fan VFDs'!M57=0,"",'Evap Fan VFDs'!M57)</f>
        <v/>
      </c>
      <c r="G22" s="263" t="str">
        <f t="shared" si="1"/>
        <v/>
      </c>
      <c r="H22" s="264"/>
      <c r="I22" s="265"/>
      <c r="J22" s="266"/>
    </row>
    <row r="23" spans="1:10" ht="15" customHeight="1">
      <c r="A23" s="260"/>
      <c r="B23" s="261">
        <v>50</v>
      </c>
      <c r="C23" s="262">
        <f>IF(OR(Data!A$8=2,Data!A$8=3),'Evap Fan VFDs'!C58,'Evap Fan VFDs'!J58)</f>
        <v>4302.0720000000001</v>
      </c>
      <c r="D23" s="261">
        <f>DCOUNT('Evap Fan VFDs'!$A$5:$Q$42,'Evap Fan VFDs'!$D$5,'Evap Fan VFDs'!$A$79:$B$80)+DCOUNT('Evap Fan VFDs'!$A$5:$Q$42,'Evap Fan VFDs'!$D$5,'Evap Fan VFDs'!$A$100:$B$101)</f>
        <v>0</v>
      </c>
      <c r="E23" s="263">
        <f t="shared" si="0"/>
        <v>0</v>
      </c>
      <c r="F23" s="261" t="str">
        <f>IF('Evap Fan VFDs'!M58=0,"",'Evap Fan VFDs'!M58)</f>
        <v/>
      </c>
      <c r="G23" s="263" t="str">
        <f t="shared" si="1"/>
        <v/>
      </c>
      <c r="H23" s="264"/>
      <c r="I23" s="265"/>
      <c r="J23" s="266"/>
    </row>
    <row r="24" spans="1:10" ht="15" customHeight="1">
      <c r="A24" s="260"/>
      <c r="B24" s="261">
        <v>60</v>
      </c>
      <c r="C24" s="262">
        <f>IF(OR(Data!A$8=2,Data!A$8=3),'Evap Fan VFDs'!C59,'Evap Fan VFDs'!J59)</f>
        <v>5054.3999999999996</v>
      </c>
      <c r="D24" s="261">
        <f>DCOUNT('Evap Fan VFDs'!$A$5:$Q$42,'Evap Fan VFDs'!$D$5,'Evap Fan VFDs'!$A$81:$B$82)+DCOUNT('Evap Fan VFDs'!$A$5:$Q$42,'Evap Fan VFDs'!$D$5,'Evap Fan VFDs'!$A$102:$B$103)</f>
        <v>0</v>
      </c>
      <c r="E24" s="263">
        <f t="shared" si="0"/>
        <v>0</v>
      </c>
      <c r="F24" s="261" t="str">
        <f>IF('Evap Fan VFDs'!M59=0,"",'Evap Fan VFDs'!M59)</f>
        <v/>
      </c>
      <c r="G24" s="263" t="str">
        <f t="shared" si="1"/>
        <v/>
      </c>
      <c r="H24" s="264"/>
      <c r="I24" s="265"/>
      <c r="J24" s="266"/>
    </row>
    <row r="25" spans="1:10" ht="13.5" customHeight="1">
      <c r="A25" s="260"/>
      <c r="B25" s="313" t="s">
        <v>82</v>
      </c>
      <c r="C25" s="313"/>
      <c r="D25" s="313"/>
      <c r="E25" s="267">
        <f>SUM(E15:E24)</f>
        <v>0</v>
      </c>
      <c r="F25" s="268" t="str">
        <f>"(" &amp; "C" &amp; ")"</f>
        <v>(C)</v>
      </c>
      <c r="G25" s="269" t="str">
        <f>IF(SUM(G15:G24)=0,"",SUM(G15:G24))</f>
        <v/>
      </c>
      <c r="H25" s="270"/>
    </row>
    <row r="26" spans="1:10">
      <c r="A26" s="271"/>
      <c r="B26" s="272"/>
      <c r="C26" s="272"/>
      <c r="D26" s="272"/>
      <c r="E26" s="273" t="s">
        <v>89</v>
      </c>
      <c r="F26" s="274"/>
      <c r="G26" s="275">
        <f>'Evap Fan VFDs'!P60</f>
        <v>0</v>
      </c>
      <c r="H26" s="270"/>
    </row>
    <row r="27" spans="1:10" ht="14.25" customHeight="1">
      <c r="A27" s="276"/>
      <c r="B27" s="277"/>
      <c r="C27" s="277"/>
      <c r="D27" s="278" t="s">
        <v>83</v>
      </c>
      <c r="E27" s="279" t="str">
        <f>IF(CustMeas!E20="","",CustMeas!E20)</f>
        <v/>
      </c>
      <c r="F27" s="280" t="s">
        <v>84</v>
      </c>
      <c r="G27" s="281">
        <f>G26*0.75</f>
        <v>0</v>
      </c>
      <c r="H27" s="264"/>
    </row>
    <row r="28" spans="1:10" ht="30.75" customHeight="1" thickBot="1">
      <c r="A28" s="320" t="s">
        <v>85</v>
      </c>
      <c r="B28" s="321"/>
      <c r="C28" s="321"/>
      <c r="D28" s="321"/>
      <c r="E28" s="321"/>
      <c r="F28" s="322"/>
      <c r="G28" s="282">
        <f>IF(G25="",IF(G27&lt;E25,G27,E25),IF(G27&lt;G25,G27,G25))</f>
        <v>0</v>
      </c>
      <c r="H28" s="283"/>
      <c r="J28" s="266"/>
    </row>
    <row r="29" spans="1:10" ht="25.5" customHeight="1">
      <c r="A29" s="323" t="s">
        <v>51</v>
      </c>
      <c r="B29" s="324"/>
      <c r="C29" s="324"/>
      <c r="D29" s="324"/>
      <c r="E29" s="324"/>
      <c r="F29" s="324"/>
      <c r="G29" s="324"/>
      <c r="H29" s="325"/>
    </row>
    <row r="30" spans="1:10" ht="15" customHeight="1">
      <c r="A30" s="318" t="s">
        <v>52</v>
      </c>
      <c r="B30" s="314"/>
      <c r="C30" s="314"/>
      <c r="D30" s="314"/>
      <c r="E30" s="314"/>
      <c r="F30" s="314" t="s">
        <v>53</v>
      </c>
      <c r="G30" s="314"/>
      <c r="H30" s="315"/>
    </row>
    <row r="31" spans="1:10">
      <c r="A31" s="319"/>
      <c r="B31" s="316"/>
      <c r="C31" s="316"/>
      <c r="D31" s="316"/>
      <c r="E31" s="316"/>
      <c r="F31" s="316"/>
      <c r="G31" s="316"/>
      <c r="H31" s="317"/>
    </row>
    <row r="32" spans="1:10" ht="87" customHeight="1">
      <c r="A32" s="338" t="s">
        <v>331</v>
      </c>
      <c r="B32" s="339"/>
      <c r="C32" s="339"/>
      <c r="D32" s="339"/>
      <c r="E32" s="339"/>
      <c r="F32" s="339"/>
      <c r="G32" s="339"/>
      <c r="H32" s="340"/>
    </row>
    <row r="33" spans="1:8" ht="15.75" customHeight="1">
      <c r="A33" s="341" t="s">
        <v>54</v>
      </c>
      <c r="B33" s="342"/>
      <c r="C33" s="342"/>
      <c r="D33" s="342"/>
      <c r="E33" s="342"/>
      <c r="F33" s="342"/>
      <c r="G33" s="342"/>
      <c r="H33" s="343"/>
    </row>
    <row r="34" spans="1:8" ht="13.5" customHeight="1">
      <c r="A34" s="344" t="s">
        <v>55</v>
      </c>
      <c r="B34" s="345"/>
      <c r="C34" s="345"/>
      <c r="D34" s="345"/>
      <c r="E34" s="346" t="s">
        <v>221</v>
      </c>
      <c r="F34" s="346"/>
      <c r="G34" s="346"/>
      <c r="H34" s="347"/>
    </row>
    <row r="35" spans="1:8" s="285" customFormat="1" ht="13.5" customHeight="1">
      <c r="A35" s="284"/>
      <c r="B35" s="314" t="s">
        <v>56</v>
      </c>
      <c r="C35" s="314"/>
      <c r="D35" s="314"/>
      <c r="E35" s="346"/>
      <c r="F35" s="346"/>
      <c r="G35" s="346"/>
      <c r="H35" s="347"/>
    </row>
    <row r="36" spans="1:8" s="285" customFormat="1" ht="13.5" customHeight="1">
      <c r="A36" s="284"/>
      <c r="B36" s="314" t="s">
        <v>57</v>
      </c>
      <c r="C36" s="314"/>
      <c r="D36" s="314"/>
      <c r="E36" s="346"/>
      <c r="F36" s="346"/>
      <c r="G36" s="346"/>
      <c r="H36" s="347"/>
    </row>
    <row r="37" spans="1:8" s="285" customFormat="1" ht="13.5" customHeight="1">
      <c r="A37" s="284"/>
      <c r="B37" s="314" t="s">
        <v>58</v>
      </c>
      <c r="C37" s="314"/>
      <c r="D37" s="314"/>
      <c r="E37" s="346"/>
      <c r="F37" s="346"/>
      <c r="G37" s="346"/>
      <c r="H37" s="347"/>
    </row>
    <row r="38" spans="1:8" s="285" customFormat="1" ht="13.5" customHeight="1" thickBot="1">
      <c r="A38" s="284"/>
      <c r="B38" s="314" t="s">
        <v>59</v>
      </c>
      <c r="C38" s="314"/>
      <c r="D38" s="314"/>
      <c r="E38" s="346"/>
      <c r="F38" s="346"/>
      <c r="G38" s="346"/>
      <c r="H38" s="347"/>
    </row>
    <row r="39" spans="1:8" ht="17.25" customHeight="1">
      <c r="A39" s="326" t="s">
        <v>60</v>
      </c>
      <c r="B39" s="327"/>
      <c r="C39" s="327"/>
      <c r="D39" s="327"/>
      <c r="E39" s="327"/>
      <c r="F39" s="327"/>
      <c r="G39" s="327"/>
      <c r="H39" s="328"/>
    </row>
    <row r="40" spans="1:8" ht="15" customHeight="1">
      <c r="A40" s="286" t="s">
        <v>61</v>
      </c>
      <c r="B40" s="287"/>
      <c r="C40" s="287"/>
      <c r="D40" s="287"/>
      <c r="E40" s="288"/>
      <c r="F40" s="329" t="s">
        <v>53</v>
      </c>
      <c r="G40" s="330"/>
      <c r="H40" s="331"/>
    </row>
    <row r="41" spans="1:8" ht="15.75" customHeight="1">
      <c r="A41" s="289"/>
      <c r="B41" s="290"/>
      <c r="C41" s="290"/>
      <c r="D41" s="290"/>
      <c r="E41" s="291"/>
      <c r="F41" s="332"/>
      <c r="G41" s="333"/>
      <c r="H41" s="334"/>
    </row>
    <row r="42" spans="1:8" ht="16.5" customHeight="1">
      <c r="A42" s="292"/>
      <c r="B42" s="293"/>
      <c r="C42" s="293"/>
      <c r="D42" s="293"/>
      <c r="E42" s="294"/>
      <c r="F42" s="335"/>
      <c r="G42" s="336"/>
      <c r="H42" s="337"/>
    </row>
    <row r="43" spans="1:8" ht="15" customHeight="1">
      <c r="A43" s="286" t="s">
        <v>62</v>
      </c>
      <c r="B43" s="287"/>
      <c r="C43" s="287"/>
      <c r="D43" s="287"/>
      <c r="E43" s="295" t="s">
        <v>63</v>
      </c>
      <c r="F43" s="295" t="s">
        <v>64</v>
      </c>
      <c r="G43" s="296" t="s">
        <v>86</v>
      </c>
      <c r="H43" s="297" t="s">
        <v>87</v>
      </c>
    </row>
    <row r="44" spans="1:8" ht="16.5" customHeight="1" thickBot="1">
      <c r="A44" s="298"/>
      <c r="B44" s="299"/>
      <c r="C44" s="299"/>
      <c r="D44" s="299"/>
      <c r="E44" s="36" t="str">
        <f>IF(CustMeas!E26=0,"",CustMeas!E26)</f>
        <v/>
      </c>
      <c r="F44" s="36" t="str">
        <f>IF(CustMeas!E1="","",CustMeas!E1)</f>
        <v/>
      </c>
      <c r="G44" s="37">
        <f>IF(CustMeas!E22="","",CustMeas!E22)</f>
        <v>289014</v>
      </c>
      <c r="H44" s="38">
        <f>CustMeas!E23</f>
        <v>556000</v>
      </c>
    </row>
  </sheetData>
  <mergeCells count="28">
    <mergeCell ref="A39:H39"/>
    <mergeCell ref="F40:H42"/>
    <mergeCell ref="A32:H32"/>
    <mergeCell ref="A33:H33"/>
    <mergeCell ref="A34:D34"/>
    <mergeCell ref="E34:H38"/>
    <mergeCell ref="B35:D35"/>
    <mergeCell ref="B36:D36"/>
    <mergeCell ref="B37:D37"/>
    <mergeCell ref="B38:D38"/>
    <mergeCell ref="B25:D25"/>
    <mergeCell ref="F30:H31"/>
    <mergeCell ref="A30:E31"/>
    <mergeCell ref="A28:F28"/>
    <mergeCell ref="A29:H29"/>
    <mergeCell ref="A9:C9"/>
    <mergeCell ref="D9:E9"/>
    <mergeCell ref="F9:H9"/>
    <mergeCell ref="A11:H11"/>
    <mergeCell ref="A13:D13"/>
    <mergeCell ref="E13:H13"/>
    <mergeCell ref="A1:H1"/>
    <mergeCell ref="A7:E7"/>
    <mergeCell ref="F7:H7"/>
    <mergeCell ref="A3:E3"/>
    <mergeCell ref="G3:H3"/>
    <mergeCell ref="A5:E5"/>
    <mergeCell ref="F5:H5"/>
  </mergeCells>
  <pageMargins left="0.7" right="0.5" top="0.5" bottom="0.5" header="0.3" footer="0.3"/>
  <pageSetup scale="95" orientation="portrait" r:id="rId1"/>
  <headerFooter>
    <oddHeader>&amp;R&amp;"Arial,Regular"&amp;10Version 2/19/13</oddHeader>
  </headerFooter>
  <rowBreaks count="1" manualBreakCount="1">
    <brk id="45" max="16383" man="1"/>
  </rowBreaks>
  <legacyDrawing r:id="rId2"/>
  <oleObjects>
    <oleObject progId="Word.Document.12" shapeId="5121" r:id="rId3"/>
  </oleObjects>
</worksheet>
</file>

<file path=xl/worksheets/sheet4.xml><?xml version="1.0" encoding="utf-8"?>
<worksheet xmlns="http://schemas.openxmlformats.org/spreadsheetml/2006/main" xmlns:r="http://schemas.openxmlformats.org/officeDocument/2006/relationships">
  <sheetPr codeName="Sheet4">
    <pageSetUpPr fitToPage="1"/>
  </sheetPr>
  <dimension ref="A1:K30"/>
  <sheetViews>
    <sheetView topLeftCell="A3" workbookViewId="0">
      <selection activeCell="K30" sqref="A12:K30"/>
    </sheetView>
  </sheetViews>
  <sheetFormatPr defaultRowHeight="15"/>
  <cols>
    <col min="1" max="1" width="8.85546875" style="91" customWidth="1"/>
    <col min="2" max="2" width="11" style="91" customWidth="1"/>
    <col min="3" max="3" width="8.85546875" style="91" customWidth="1"/>
    <col min="4" max="4" width="5.5703125" style="93" customWidth="1"/>
    <col min="5" max="5" width="8.7109375" style="93" customWidth="1"/>
    <col min="6" max="6" width="11.5703125" style="91" customWidth="1"/>
    <col min="7" max="7" width="9.28515625" style="91" customWidth="1"/>
    <col min="8" max="8" width="5.28515625" style="91" customWidth="1"/>
    <col min="9" max="9" width="10.5703125" style="91" customWidth="1"/>
    <col min="10" max="10" width="11.7109375" style="96" customWidth="1"/>
    <col min="11" max="16384" width="9.140625" style="91"/>
  </cols>
  <sheetData>
    <row r="1" spans="1:11" s="87" customFormat="1" ht="76.5">
      <c r="A1" s="87" t="s">
        <v>140</v>
      </c>
      <c r="B1" s="88" t="s">
        <v>141</v>
      </c>
      <c r="C1" s="87" t="s">
        <v>142</v>
      </c>
      <c r="D1" s="89" t="s">
        <v>143</v>
      </c>
      <c r="E1" s="89" t="s">
        <v>144</v>
      </c>
      <c r="F1" s="87" t="s">
        <v>145</v>
      </c>
      <c r="G1" s="87" t="s">
        <v>146</v>
      </c>
      <c r="H1" s="90" t="s">
        <v>147</v>
      </c>
      <c r="I1" s="87" t="s">
        <v>148</v>
      </c>
      <c r="J1" s="87" t="s">
        <v>149</v>
      </c>
    </row>
    <row r="2" spans="1:11" ht="102.75">
      <c r="A2" s="91" t="s">
        <v>1</v>
      </c>
      <c r="B2" s="92">
        <v>15</v>
      </c>
      <c r="C2" s="91">
        <v>7.5</v>
      </c>
      <c r="D2" s="93">
        <v>26710</v>
      </c>
      <c r="E2" s="93">
        <f t="shared" ref="E2:E7" si="0">D2/B2</f>
        <v>1780.6666666666667</v>
      </c>
      <c r="F2" s="94">
        <v>36063</v>
      </c>
      <c r="G2" s="94">
        <v>36251</v>
      </c>
      <c r="H2" s="95">
        <v>0.72</v>
      </c>
      <c r="I2" s="93">
        <f t="shared" ref="I2:I7" si="1">D2*(10/C2)*30/(G2-F2)</f>
        <v>5682.9787234042542</v>
      </c>
      <c r="J2" s="96" t="s">
        <v>150</v>
      </c>
    </row>
    <row r="3" spans="1:11" ht="102.75">
      <c r="A3" s="91" t="s">
        <v>1</v>
      </c>
      <c r="B3" s="92">
        <v>15</v>
      </c>
      <c r="C3" s="91">
        <v>7.5</v>
      </c>
      <c r="D3" s="93">
        <v>25564</v>
      </c>
      <c r="E3" s="93">
        <f t="shared" si="0"/>
        <v>1704.2666666666667</v>
      </c>
      <c r="F3" s="94">
        <v>36073</v>
      </c>
      <c r="G3" s="94">
        <v>36246</v>
      </c>
      <c r="H3" s="95">
        <v>0.71</v>
      </c>
      <c r="I3" s="93">
        <f t="shared" si="1"/>
        <v>5910.7514450867047</v>
      </c>
      <c r="J3" s="96" t="s">
        <v>150</v>
      </c>
    </row>
    <row r="4" spans="1:11">
      <c r="A4" s="91" t="s">
        <v>151</v>
      </c>
      <c r="B4" s="92">
        <v>15</v>
      </c>
      <c r="C4" s="91">
        <v>12</v>
      </c>
      <c r="D4" s="93">
        <v>59193</v>
      </c>
      <c r="E4" s="93">
        <f t="shared" si="0"/>
        <v>3946.2</v>
      </c>
      <c r="F4" s="94">
        <v>36068</v>
      </c>
      <c r="G4" s="94">
        <v>36344</v>
      </c>
      <c r="H4" s="95">
        <v>0.63700000000000001</v>
      </c>
      <c r="I4" s="93">
        <f t="shared" si="1"/>
        <v>5361.684782608696</v>
      </c>
    </row>
    <row r="5" spans="1:11">
      <c r="A5" s="91" t="s">
        <v>152</v>
      </c>
      <c r="B5" s="92">
        <v>15</v>
      </c>
      <c r="C5" s="91">
        <v>6.5</v>
      </c>
      <c r="D5" s="93">
        <v>23862</v>
      </c>
      <c r="E5" s="93">
        <f t="shared" si="0"/>
        <v>1590.8</v>
      </c>
      <c r="F5" s="94">
        <v>36091</v>
      </c>
      <c r="G5" s="94">
        <v>36302</v>
      </c>
      <c r="H5" s="95">
        <v>0.66400000000000003</v>
      </c>
      <c r="I5" s="93">
        <f t="shared" si="1"/>
        <v>5219.5406489245352</v>
      </c>
    </row>
    <row r="6" spans="1:11" ht="51.75">
      <c r="A6" s="91" t="s">
        <v>153</v>
      </c>
      <c r="B6" s="92">
        <v>20</v>
      </c>
      <c r="C6" s="91">
        <v>9.5</v>
      </c>
      <c r="D6" s="93">
        <v>10502</v>
      </c>
      <c r="E6" s="93">
        <f t="shared" si="0"/>
        <v>525.1</v>
      </c>
      <c r="F6" s="94">
        <v>36045</v>
      </c>
      <c r="G6" s="94">
        <v>36120</v>
      </c>
      <c r="H6" s="95">
        <v>0.57399999999999995</v>
      </c>
      <c r="I6" s="93">
        <f t="shared" si="1"/>
        <v>4421.8947368421059</v>
      </c>
      <c r="J6" s="96" t="s">
        <v>154</v>
      </c>
    </row>
    <row r="7" spans="1:11" ht="77.25">
      <c r="A7" s="97" t="s">
        <v>155</v>
      </c>
      <c r="B7" s="98">
        <v>15</v>
      </c>
      <c r="C7" s="97">
        <v>12.3</v>
      </c>
      <c r="D7" s="99">
        <v>16424</v>
      </c>
      <c r="E7" s="99">
        <f t="shared" si="0"/>
        <v>1094.9333333333334</v>
      </c>
      <c r="F7" s="100">
        <v>36052</v>
      </c>
      <c r="G7" s="100">
        <v>36318</v>
      </c>
      <c r="H7" s="101">
        <v>0.53700000000000003</v>
      </c>
      <c r="I7" s="99">
        <f t="shared" si="1"/>
        <v>1505.960022006235</v>
      </c>
      <c r="J7" s="102" t="s">
        <v>156</v>
      </c>
    </row>
    <row r="8" spans="1:11" ht="15.75" thickBot="1">
      <c r="H8" s="95"/>
    </row>
    <row r="9" spans="1:11" s="110" customFormat="1" ht="13.5" thickBot="1">
      <c r="A9" s="103" t="s">
        <v>157</v>
      </c>
      <c r="B9" s="104">
        <f>AVERAGE(B2:B6)</f>
        <v>16</v>
      </c>
      <c r="C9" s="104">
        <f>AVERAGE(C2:C6)</f>
        <v>8.6</v>
      </c>
      <c r="D9" s="105">
        <f>AVERAGE(D2:D6)</f>
        <v>29166.2</v>
      </c>
      <c r="E9" s="106">
        <f>AVERAGE(E2:E6)</f>
        <v>1909.4066666666665</v>
      </c>
      <c r="F9" s="107" t="s">
        <v>30</v>
      </c>
      <c r="G9" s="108"/>
      <c r="H9" s="109">
        <f>AVERAGE(H2:H7)</f>
        <v>0.64033333333333331</v>
      </c>
      <c r="J9" s="111"/>
    </row>
    <row r="11" spans="1:11">
      <c r="A11" s="112"/>
    </row>
    <row r="12" spans="1:11">
      <c r="A12" s="147" t="s">
        <v>236</v>
      </c>
      <c r="B12" s="148"/>
      <c r="C12" s="148"/>
      <c r="D12" s="149"/>
      <c r="E12" s="149"/>
      <c r="F12" s="155"/>
      <c r="G12" s="91" t="s">
        <v>237</v>
      </c>
    </row>
    <row r="13" spans="1:11" s="110" customFormat="1">
      <c r="A13" s="150" t="s">
        <v>230</v>
      </c>
      <c r="B13" s="151"/>
      <c r="C13" s="152"/>
      <c r="D13" s="153"/>
      <c r="E13" s="154" t="s">
        <v>232</v>
      </c>
      <c r="F13" s="151"/>
      <c r="G13" s="138"/>
      <c r="H13" s="138"/>
      <c r="I13" s="137" t="s">
        <v>233</v>
      </c>
      <c r="J13" s="136"/>
      <c r="K13" s="139"/>
    </row>
    <row r="14" spans="1:11" s="135" customFormat="1" ht="71.25" customHeight="1">
      <c r="A14" s="140" t="s">
        <v>226</v>
      </c>
      <c r="B14" s="78" t="s">
        <v>231</v>
      </c>
      <c r="C14" s="79" t="s">
        <v>229</v>
      </c>
      <c r="D14" s="28"/>
      <c r="E14" s="143" t="s">
        <v>226</v>
      </c>
      <c r="F14" s="78" t="s">
        <v>231</v>
      </c>
      <c r="G14" s="79" t="s">
        <v>229</v>
      </c>
      <c r="H14" s="78"/>
      <c r="I14" s="143" t="s">
        <v>226</v>
      </c>
      <c r="J14" s="78" t="s">
        <v>231</v>
      </c>
      <c r="K14" s="145" t="s">
        <v>229</v>
      </c>
    </row>
    <row r="15" spans="1:11">
      <c r="A15" s="141">
        <v>25</v>
      </c>
      <c r="B15" s="124">
        <v>36259.604640000005</v>
      </c>
      <c r="C15" s="124">
        <f>B15/A15</f>
        <v>1450.3841856000001</v>
      </c>
      <c r="D15" s="83"/>
      <c r="E15" s="144">
        <v>25</v>
      </c>
      <c r="F15" s="83">
        <v>14111.200000000003</v>
      </c>
      <c r="G15" s="83">
        <f>F15/E15</f>
        <v>564.44800000000009</v>
      </c>
      <c r="H15" s="83"/>
      <c r="I15" s="144">
        <v>40</v>
      </c>
      <c r="J15" s="83">
        <v>143664</v>
      </c>
      <c r="K15" s="129">
        <v>3591.6</v>
      </c>
    </row>
    <row r="16" spans="1:11">
      <c r="A16" s="142"/>
      <c r="B16" s="83"/>
      <c r="C16" s="83"/>
      <c r="D16" s="83"/>
      <c r="E16" s="144"/>
      <c r="F16" s="83"/>
      <c r="G16" s="83"/>
      <c r="H16" s="83"/>
      <c r="I16" s="144"/>
      <c r="J16" s="83"/>
      <c r="K16" s="129"/>
    </row>
    <row r="17" spans="1:11">
      <c r="A17" s="142" t="s">
        <v>226</v>
      </c>
      <c r="B17" s="83"/>
      <c r="C17" s="83"/>
      <c r="D17" s="83"/>
      <c r="E17" s="144" t="s">
        <v>226</v>
      </c>
      <c r="F17" s="83"/>
      <c r="G17" s="83"/>
      <c r="H17" s="83"/>
      <c r="I17" s="144" t="s">
        <v>226</v>
      </c>
      <c r="J17" s="83"/>
      <c r="K17" s="129"/>
    </row>
    <row r="18" spans="1:11">
      <c r="A18" s="142">
        <v>20</v>
      </c>
      <c r="B18" s="83">
        <v>45592.461080000001</v>
      </c>
      <c r="C18" s="124">
        <f>B18/A18</f>
        <v>2279.6230540000001</v>
      </c>
      <c r="D18" s="83"/>
      <c r="E18" s="144">
        <v>20</v>
      </c>
      <c r="F18" s="83">
        <v>22574.655385731498</v>
      </c>
      <c r="G18" s="83">
        <f>F18/E18</f>
        <v>1128.7327692865749</v>
      </c>
      <c r="H18" s="83"/>
      <c r="I18" s="144">
        <v>30</v>
      </c>
      <c r="J18" s="83">
        <v>75657.200000000012</v>
      </c>
      <c r="K18" s="129">
        <v>2521.9066666666672</v>
      </c>
    </row>
    <row r="19" spans="1:11">
      <c r="A19" s="142"/>
      <c r="B19" s="83"/>
      <c r="C19" s="83"/>
      <c r="D19" s="83"/>
      <c r="E19" s="144"/>
      <c r="F19" s="83"/>
      <c r="G19" s="83"/>
      <c r="H19" s="83"/>
      <c r="I19" s="144"/>
      <c r="J19" s="83"/>
      <c r="K19" s="129"/>
    </row>
    <row r="20" spans="1:11">
      <c r="A20" s="142" t="s">
        <v>226</v>
      </c>
      <c r="B20" s="83"/>
      <c r="C20" s="83"/>
      <c r="D20" s="83"/>
      <c r="E20" s="144" t="s">
        <v>226</v>
      </c>
      <c r="F20" s="83"/>
      <c r="G20" s="83"/>
      <c r="H20" s="83"/>
      <c r="I20" s="144" t="str">
        <f>I17</f>
        <v>HP</v>
      </c>
      <c r="J20" s="83"/>
      <c r="K20" s="129"/>
    </row>
    <row r="21" spans="1:11">
      <c r="A21" s="142">
        <v>15</v>
      </c>
      <c r="B21" s="83">
        <v>25852.322949940863</v>
      </c>
      <c r="C21" s="124">
        <f>B21/A21</f>
        <v>1723.4881966627242</v>
      </c>
      <c r="D21" s="83"/>
      <c r="E21" s="144">
        <v>15</v>
      </c>
      <c r="F21" s="83">
        <v>44381.4</v>
      </c>
      <c r="G21" s="83">
        <f>F21/E21</f>
        <v>2958.76</v>
      </c>
      <c r="H21" s="83"/>
      <c r="I21" s="144">
        <v>25</v>
      </c>
      <c r="J21" s="83">
        <v>70824.184714649222</v>
      </c>
      <c r="K21" s="129">
        <v>2832.9673885859688</v>
      </c>
    </row>
    <row r="22" spans="1:11">
      <c r="A22" s="130"/>
      <c r="B22" s="83"/>
      <c r="C22" s="83"/>
      <c r="D22" s="83"/>
      <c r="E22" s="144"/>
      <c r="F22" s="83"/>
      <c r="G22" s="83"/>
      <c r="H22" s="83"/>
      <c r="I22" s="144"/>
      <c r="J22" s="83"/>
      <c r="K22" s="129"/>
    </row>
    <row r="23" spans="1:11">
      <c r="A23" s="130"/>
      <c r="B23" s="83"/>
      <c r="C23" s="128"/>
      <c r="D23" s="83"/>
      <c r="E23" s="144" t="s">
        <v>226</v>
      </c>
      <c r="F23" s="83"/>
      <c r="G23" s="83"/>
      <c r="H23" s="83"/>
      <c r="I23" s="144" t="str">
        <f>I20</f>
        <v>HP</v>
      </c>
      <c r="J23" s="83"/>
      <c r="K23" s="129"/>
    </row>
    <row r="24" spans="1:11">
      <c r="A24" s="130"/>
      <c r="B24" s="83"/>
      <c r="C24" s="83"/>
      <c r="D24" s="83"/>
      <c r="E24" s="144">
        <v>10</v>
      </c>
      <c r="F24" s="83">
        <v>3204.7414972516244</v>
      </c>
      <c r="G24" s="83">
        <f>F24/E24</f>
        <v>320.47414972516242</v>
      </c>
      <c r="H24" s="83"/>
      <c r="I24" s="144">
        <v>20</v>
      </c>
      <c r="J24" s="83">
        <v>61805.434517916656</v>
      </c>
      <c r="K24" s="129">
        <v>3090.2717258958328</v>
      </c>
    </row>
    <row r="25" spans="1:11">
      <c r="A25" s="130"/>
      <c r="B25" s="83"/>
      <c r="C25" s="83"/>
      <c r="D25" s="83"/>
      <c r="E25" s="144"/>
      <c r="F25" s="83"/>
      <c r="G25" s="83"/>
      <c r="H25" s="83"/>
      <c r="I25" s="144"/>
      <c r="J25" s="83"/>
      <c r="K25" s="129"/>
    </row>
    <row r="26" spans="1:11">
      <c r="A26" s="130"/>
      <c r="B26" s="83"/>
      <c r="C26" s="128"/>
      <c r="D26" s="83"/>
      <c r="E26" s="144"/>
      <c r="F26" s="83"/>
      <c r="G26" s="83"/>
      <c r="H26" s="83"/>
      <c r="I26" s="144" t="str">
        <f>I23</f>
        <v>HP</v>
      </c>
      <c r="J26" s="83"/>
      <c r="K26" s="129"/>
    </row>
    <row r="27" spans="1:11">
      <c r="A27" s="130"/>
      <c r="B27" s="83"/>
      <c r="C27" s="83"/>
      <c r="D27" s="83"/>
      <c r="E27" s="144"/>
      <c r="F27" s="83"/>
      <c r="G27" s="83"/>
      <c r="H27" s="83"/>
      <c r="I27" s="144">
        <v>15</v>
      </c>
      <c r="J27" s="83">
        <v>40504.086575342459</v>
      </c>
      <c r="K27" s="129">
        <v>2700.272438356164</v>
      </c>
    </row>
    <row r="28" spans="1:11">
      <c r="A28" s="130"/>
      <c r="B28" s="156" t="s">
        <v>239</v>
      </c>
      <c r="C28" s="157"/>
      <c r="D28" s="158"/>
      <c r="E28" s="159"/>
      <c r="F28" s="158"/>
      <c r="G28" s="160"/>
      <c r="H28" s="83"/>
      <c r="I28" s="144"/>
      <c r="J28" s="83"/>
      <c r="K28" s="129"/>
    </row>
    <row r="29" spans="1:11">
      <c r="A29" s="130"/>
      <c r="B29" s="161" t="s">
        <v>238</v>
      </c>
      <c r="C29" s="162"/>
      <c r="D29" s="162"/>
      <c r="E29" s="162"/>
      <c r="F29" s="162"/>
      <c r="G29" s="163"/>
      <c r="H29" s="83"/>
      <c r="I29" s="144" t="str">
        <f>I26</f>
        <v>HP</v>
      </c>
      <c r="J29" s="83"/>
      <c r="K29" s="129"/>
    </row>
    <row r="30" spans="1:11">
      <c r="A30" s="131"/>
      <c r="B30" s="132"/>
      <c r="C30" s="133"/>
      <c r="D30" s="132"/>
      <c r="E30" s="132"/>
      <c r="F30" s="132"/>
      <c r="G30" s="132"/>
      <c r="H30" s="132"/>
      <c r="I30" s="146">
        <v>10</v>
      </c>
      <c r="J30" s="132">
        <v>13104.000000000002</v>
      </c>
      <c r="K30" s="134">
        <v>1310.4000000000001</v>
      </c>
    </row>
  </sheetData>
  <pageMargins left="0.75" right="0.75" top="1" bottom="1" header="0.5" footer="0.5"/>
  <pageSetup scale="93" orientation="landscape" horizontalDpi="300" r:id="rId1"/>
  <headerFooter alignWithMargins="0">
    <oddHeader>&amp;CSUMMARY OF CASCADE ENGINEERING's 1999 EVAPORATOR FAN VFD STUDY</oddHead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I50"/>
  <sheetViews>
    <sheetView topLeftCell="A25" workbookViewId="0">
      <selection activeCell="K30" sqref="A12:K30"/>
    </sheetView>
  </sheetViews>
  <sheetFormatPr defaultRowHeight="12.75"/>
  <cols>
    <col min="1" max="1" width="12.28515625" style="57" customWidth="1"/>
    <col min="2" max="4" width="10.5703125" style="57" customWidth="1"/>
    <col min="5" max="5" width="10.28515625" style="57" bestFit="1" customWidth="1"/>
    <col min="6" max="256" width="9.140625" style="57"/>
    <col min="257" max="257" width="12.28515625" style="57" customWidth="1"/>
    <col min="258" max="260" width="10.5703125" style="57" customWidth="1"/>
    <col min="261" max="261" width="10.28515625" style="57" bestFit="1" customWidth="1"/>
    <col min="262" max="512" width="9.140625" style="57"/>
    <col min="513" max="513" width="12.28515625" style="57" customWidth="1"/>
    <col min="514" max="516" width="10.5703125" style="57" customWidth="1"/>
    <col min="517" max="517" width="10.28515625" style="57" bestFit="1" customWidth="1"/>
    <col min="518" max="768" width="9.140625" style="57"/>
    <col min="769" max="769" width="12.28515625" style="57" customWidth="1"/>
    <col min="770" max="772" width="10.5703125" style="57" customWidth="1"/>
    <col min="773" max="773" width="10.28515625" style="57" bestFit="1" customWidth="1"/>
    <col min="774" max="1024" width="9.140625" style="57"/>
    <col min="1025" max="1025" width="12.28515625" style="57" customWidth="1"/>
    <col min="1026" max="1028" width="10.5703125" style="57" customWidth="1"/>
    <col min="1029" max="1029" width="10.28515625" style="57" bestFit="1" customWidth="1"/>
    <col min="1030" max="1280" width="9.140625" style="57"/>
    <col min="1281" max="1281" width="12.28515625" style="57" customWidth="1"/>
    <col min="1282" max="1284" width="10.5703125" style="57" customWidth="1"/>
    <col min="1285" max="1285" width="10.28515625" style="57" bestFit="1" customWidth="1"/>
    <col min="1286" max="1536" width="9.140625" style="57"/>
    <col min="1537" max="1537" width="12.28515625" style="57" customWidth="1"/>
    <col min="1538" max="1540" width="10.5703125" style="57" customWidth="1"/>
    <col min="1541" max="1541" width="10.28515625" style="57" bestFit="1" customWidth="1"/>
    <col min="1542" max="1792" width="9.140625" style="57"/>
    <col min="1793" max="1793" width="12.28515625" style="57" customWidth="1"/>
    <col min="1794" max="1796" width="10.5703125" style="57" customWidth="1"/>
    <col min="1797" max="1797" width="10.28515625" style="57" bestFit="1" customWidth="1"/>
    <col min="1798" max="2048" width="9.140625" style="57"/>
    <col min="2049" max="2049" width="12.28515625" style="57" customWidth="1"/>
    <col min="2050" max="2052" width="10.5703125" style="57" customWidth="1"/>
    <col min="2053" max="2053" width="10.28515625" style="57" bestFit="1" customWidth="1"/>
    <col min="2054" max="2304" width="9.140625" style="57"/>
    <col min="2305" max="2305" width="12.28515625" style="57" customWidth="1"/>
    <col min="2306" max="2308" width="10.5703125" style="57" customWidth="1"/>
    <col min="2309" max="2309" width="10.28515625" style="57" bestFit="1" customWidth="1"/>
    <col min="2310" max="2560" width="9.140625" style="57"/>
    <col min="2561" max="2561" width="12.28515625" style="57" customWidth="1"/>
    <col min="2562" max="2564" width="10.5703125" style="57" customWidth="1"/>
    <col min="2565" max="2565" width="10.28515625" style="57" bestFit="1" customWidth="1"/>
    <col min="2566" max="2816" width="9.140625" style="57"/>
    <col min="2817" max="2817" width="12.28515625" style="57" customWidth="1"/>
    <col min="2818" max="2820" width="10.5703125" style="57" customWidth="1"/>
    <col min="2821" max="2821" width="10.28515625" style="57" bestFit="1" customWidth="1"/>
    <col min="2822" max="3072" width="9.140625" style="57"/>
    <col min="3073" max="3073" width="12.28515625" style="57" customWidth="1"/>
    <col min="3074" max="3076" width="10.5703125" style="57" customWidth="1"/>
    <col min="3077" max="3077" width="10.28515625" style="57" bestFit="1" customWidth="1"/>
    <col min="3078" max="3328" width="9.140625" style="57"/>
    <col min="3329" max="3329" width="12.28515625" style="57" customWidth="1"/>
    <col min="3330" max="3332" width="10.5703125" style="57" customWidth="1"/>
    <col min="3333" max="3333" width="10.28515625" style="57" bestFit="1" customWidth="1"/>
    <col min="3334" max="3584" width="9.140625" style="57"/>
    <col min="3585" max="3585" width="12.28515625" style="57" customWidth="1"/>
    <col min="3586" max="3588" width="10.5703125" style="57" customWidth="1"/>
    <col min="3589" max="3589" width="10.28515625" style="57" bestFit="1" customWidth="1"/>
    <col min="3590" max="3840" width="9.140625" style="57"/>
    <col min="3841" max="3841" width="12.28515625" style="57" customWidth="1"/>
    <col min="3842" max="3844" width="10.5703125" style="57" customWidth="1"/>
    <col min="3845" max="3845" width="10.28515625" style="57" bestFit="1" customWidth="1"/>
    <col min="3846" max="4096" width="9.140625" style="57"/>
    <col min="4097" max="4097" width="12.28515625" style="57" customWidth="1"/>
    <col min="4098" max="4100" width="10.5703125" style="57" customWidth="1"/>
    <col min="4101" max="4101" width="10.28515625" style="57" bestFit="1" customWidth="1"/>
    <col min="4102" max="4352" width="9.140625" style="57"/>
    <col min="4353" max="4353" width="12.28515625" style="57" customWidth="1"/>
    <col min="4354" max="4356" width="10.5703125" style="57" customWidth="1"/>
    <col min="4357" max="4357" width="10.28515625" style="57" bestFit="1" customWidth="1"/>
    <col min="4358" max="4608" width="9.140625" style="57"/>
    <col min="4609" max="4609" width="12.28515625" style="57" customWidth="1"/>
    <col min="4610" max="4612" width="10.5703125" style="57" customWidth="1"/>
    <col min="4613" max="4613" width="10.28515625" style="57" bestFit="1" customWidth="1"/>
    <col min="4614" max="4864" width="9.140625" style="57"/>
    <col min="4865" max="4865" width="12.28515625" style="57" customWidth="1"/>
    <col min="4866" max="4868" width="10.5703125" style="57" customWidth="1"/>
    <col min="4869" max="4869" width="10.28515625" style="57" bestFit="1" customWidth="1"/>
    <col min="4870" max="5120" width="9.140625" style="57"/>
    <col min="5121" max="5121" width="12.28515625" style="57" customWidth="1"/>
    <col min="5122" max="5124" width="10.5703125" style="57" customWidth="1"/>
    <col min="5125" max="5125" width="10.28515625" style="57" bestFit="1" customWidth="1"/>
    <col min="5126" max="5376" width="9.140625" style="57"/>
    <col min="5377" max="5377" width="12.28515625" style="57" customWidth="1"/>
    <col min="5378" max="5380" width="10.5703125" style="57" customWidth="1"/>
    <col min="5381" max="5381" width="10.28515625" style="57" bestFit="1" customWidth="1"/>
    <col min="5382" max="5632" width="9.140625" style="57"/>
    <col min="5633" max="5633" width="12.28515625" style="57" customWidth="1"/>
    <col min="5634" max="5636" width="10.5703125" style="57" customWidth="1"/>
    <col min="5637" max="5637" width="10.28515625" style="57" bestFit="1" customWidth="1"/>
    <col min="5638" max="5888" width="9.140625" style="57"/>
    <col min="5889" max="5889" width="12.28515625" style="57" customWidth="1"/>
    <col min="5890" max="5892" width="10.5703125" style="57" customWidth="1"/>
    <col min="5893" max="5893" width="10.28515625" style="57" bestFit="1" customWidth="1"/>
    <col min="5894" max="6144" width="9.140625" style="57"/>
    <col min="6145" max="6145" width="12.28515625" style="57" customWidth="1"/>
    <col min="6146" max="6148" width="10.5703125" style="57" customWidth="1"/>
    <col min="6149" max="6149" width="10.28515625" style="57" bestFit="1" customWidth="1"/>
    <col min="6150" max="6400" width="9.140625" style="57"/>
    <col min="6401" max="6401" width="12.28515625" style="57" customWidth="1"/>
    <col min="6402" max="6404" width="10.5703125" style="57" customWidth="1"/>
    <col min="6405" max="6405" width="10.28515625" style="57" bestFit="1" customWidth="1"/>
    <col min="6406" max="6656" width="9.140625" style="57"/>
    <col min="6657" max="6657" width="12.28515625" style="57" customWidth="1"/>
    <col min="6658" max="6660" width="10.5703125" style="57" customWidth="1"/>
    <col min="6661" max="6661" width="10.28515625" style="57" bestFit="1" customWidth="1"/>
    <col min="6662" max="6912" width="9.140625" style="57"/>
    <col min="6913" max="6913" width="12.28515625" style="57" customWidth="1"/>
    <col min="6914" max="6916" width="10.5703125" style="57" customWidth="1"/>
    <col min="6917" max="6917" width="10.28515625" style="57" bestFit="1" customWidth="1"/>
    <col min="6918" max="7168" width="9.140625" style="57"/>
    <col min="7169" max="7169" width="12.28515625" style="57" customWidth="1"/>
    <col min="7170" max="7172" width="10.5703125" style="57" customWidth="1"/>
    <col min="7173" max="7173" width="10.28515625" style="57" bestFit="1" customWidth="1"/>
    <col min="7174" max="7424" width="9.140625" style="57"/>
    <col min="7425" max="7425" width="12.28515625" style="57" customWidth="1"/>
    <col min="7426" max="7428" width="10.5703125" style="57" customWidth="1"/>
    <col min="7429" max="7429" width="10.28515625" style="57" bestFit="1" customWidth="1"/>
    <col min="7430" max="7680" width="9.140625" style="57"/>
    <col min="7681" max="7681" width="12.28515625" style="57" customWidth="1"/>
    <col min="7682" max="7684" width="10.5703125" style="57" customWidth="1"/>
    <col min="7685" max="7685" width="10.28515625" style="57" bestFit="1" customWidth="1"/>
    <col min="7686" max="7936" width="9.140625" style="57"/>
    <col min="7937" max="7937" width="12.28515625" style="57" customWidth="1"/>
    <col min="7938" max="7940" width="10.5703125" style="57" customWidth="1"/>
    <col min="7941" max="7941" width="10.28515625" style="57" bestFit="1" customWidth="1"/>
    <col min="7942" max="8192" width="9.140625" style="57"/>
    <col min="8193" max="8193" width="12.28515625" style="57" customWidth="1"/>
    <col min="8194" max="8196" width="10.5703125" style="57" customWidth="1"/>
    <col min="8197" max="8197" width="10.28515625" style="57" bestFit="1" customWidth="1"/>
    <col min="8198" max="8448" width="9.140625" style="57"/>
    <col min="8449" max="8449" width="12.28515625" style="57" customWidth="1"/>
    <col min="8450" max="8452" width="10.5703125" style="57" customWidth="1"/>
    <col min="8453" max="8453" width="10.28515625" style="57" bestFit="1" customWidth="1"/>
    <col min="8454" max="8704" width="9.140625" style="57"/>
    <col min="8705" max="8705" width="12.28515625" style="57" customWidth="1"/>
    <col min="8706" max="8708" width="10.5703125" style="57" customWidth="1"/>
    <col min="8709" max="8709" width="10.28515625" style="57" bestFit="1" customWidth="1"/>
    <col min="8710" max="8960" width="9.140625" style="57"/>
    <col min="8961" max="8961" width="12.28515625" style="57" customWidth="1"/>
    <col min="8962" max="8964" width="10.5703125" style="57" customWidth="1"/>
    <col min="8965" max="8965" width="10.28515625" style="57" bestFit="1" customWidth="1"/>
    <col min="8966" max="9216" width="9.140625" style="57"/>
    <col min="9217" max="9217" width="12.28515625" style="57" customWidth="1"/>
    <col min="9218" max="9220" width="10.5703125" style="57" customWidth="1"/>
    <col min="9221" max="9221" width="10.28515625" style="57" bestFit="1" customWidth="1"/>
    <col min="9222" max="9472" width="9.140625" style="57"/>
    <col min="9473" max="9473" width="12.28515625" style="57" customWidth="1"/>
    <col min="9474" max="9476" width="10.5703125" style="57" customWidth="1"/>
    <col min="9477" max="9477" width="10.28515625" style="57" bestFit="1" customWidth="1"/>
    <col min="9478" max="9728" width="9.140625" style="57"/>
    <col min="9729" max="9729" width="12.28515625" style="57" customWidth="1"/>
    <col min="9730" max="9732" width="10.5703125" style="57" customWidth="1"/>
    <col min="9733" max="9733" width="10.28515625" style="57" bestFit="1" customWidth="1"/>
    <col min="9734" max="9984" width="9.140625" style="57"/>
    <col min="9985" max="9985" width="12.28515625" style="57" customWidth="1"/>
    <col min="9986" max="9988" width="10.5703125" style="57" customWidth="1"/>
    <col min="9989" max="9989" width="10.28515625" style="57" bestFit="1" customWidth="1"/>
    <col min="9990" max="10240" width="9.140625" style="57"/>
    <col min="10241" max="10241" width="12.28515625" style="57" customWidth="1"/>
    <col min="10242" max="10244" width="10.5703125" style="57" customWidth="1"/>
    <col min="10245" max="10245" width="10.28515625" style="57" bestFit="1" customWidth="1"/>
    <col min="10246" max="10496" width="9.140625" style="57"/>
    <col min="10497" max="10497" width="12.28515625" style="57" customWidth="1"/>
    <col min="10498" max="10500" width="10.5703125" style="57" customWidth="1"/>
    <col min="10501" max="10501" width="10.28515625" style="57" bestFit="1" customWidth="1"/>
    <col min="10502" max="10752" width="9.140625" style="57"/>
    <col min="10753" max="10753" width="12.28515625" style="57" customWidth="1"/>
    <col min="10754" max="10756" width="10.5703125" style="57" customWidth="1"/>
    <col min="10757" max="10757" width="10.28515625" style="57" bestFit="1" customWidth="1"/>
    <col min="10758" max="11008" width="9.140625" style="57"/>
    <col min="11009" max="11009" width="12.28515625" style="57" customWidth="1"/>
    <col min="11010" max="11012" width="10.5703125" style="57" customWidth="1"/>
    <col min="11013" max="11013" width="10.28515625" style="57" bestFit="1" customWidth="1"/>
    <col min="11014" max="11264" width="9.140625" style="57"/>
    <col min="11265" max="11265" width="12.28515625" style="57" customWidth="1"/>
    <col min="11266" max="11268" width="10.5703125" style="57" customWidth="1"/>
    <col min="11269" max="11269" width="10.28515625" style="57" bestFit="1" customWidth="1"/>
    <col min="11270" max="11520" width="9.140625" style="57"/>
    <col min="11521" max="11521" width="12.28515625" style="57" customWidth="1"/>
    <col min="11522" max="11524" width="10.5703125" style="57" customWidth="1"/>
    <col min="11525" max="11525" width="10.28515625" style="57" bestFit="1" customWidth="1"/>
    <col min="11526" max="11776" width="9.140625" style="57"/>
    <col min="11777" max="11777" width="12.28515625" style="57" customWidth="1"/>
    <col min="11778" max="11780" width="10.5703125" style="57" customWidth="1"/>
    <col min="11781" max="11781" width="10.28515625" style="57" bestFit="1" customWidth="1"/>
    <col min="11782" max="12032" width="9.140625" style="57"/>
    <col min="12033" max="12033" width="12.28515625" style="57" customWidth="1"/>
    <col min="12034" max="12036" width="10.5703125" style="57" customWidth="1"/>
    <col min="12037" max="12037" width="10.28515625" style="57" bestFit="1" customWidth="1"/>
    <col min="12038" max="12288" width="9.140625" style="57"/>
    <col min="12289" max="12289" width="12.28515625" style="57" customWidth="1"/>
    <col min="12290" max="12292" width="10.5703125" style="57" customWidth="1"/>
    <col min="12293" max="12293" width="10.28515625" style="57" bestFit="1" customWidth="1"/>
    <col min="12294" max="12544" width="9.140625" style="57"/>
    <col min="12545" max="12545" width="12.28515625" style="57" customWidth="1"/>
    <col min="12546" max="12548" width="10.5703125" style="57" customWidth="1"/>
    <col min="12549" max="12549" width="10.28515625" style="57" bestFit="1" customWidth="1"/>
    <col min="12550" max="12800" width="9.140625" style="57"/>
    <col min="12801" max="12801" width="12.28515625" style="57" customWidth="1"/>
    <col min="12802" max="12804" width="10.5703125" style="57" customWidth="1"/>
    <col min="12805" max="12805" width="10.28515625" style="57" bestFit="1" customWidth="1"/>
    <col min="12806" max="13056" width="9.140625" style="57"/>
    <col min="13057" max="13057" width="12.28515625" style="57" customWidth="1"/>
    <col min="13058" max="13060" width="10.5703125" style="57" customWidth="1"/>
    <col min="13061" max="13061" width="10.28515625" style="57" bestFit="1" customWidth="1"/>
    <col min="13062" max="13312" width="9.140625" style="57"/>
    <col min="13313" max="13313" width="12.28515625" style="57" customWidth="1"/>
    <col min="13314" max="13316" width="10.5703125" style="57" customWidth="1"/>
    <col min="13317" max="13317" width="10.28515625" style="57" bestFit="1" customWidth="1"/>
    <col min="13318" max="13568" width="9.140625" style="57"/>
    <col min="13569" max="13569" width="12.28515625" style="57" customWidth="1"/>
    <col min="13570" max="13572" width="10.5703125" style="57" customWidth="1"/>
    <col min="13573" max="13573" width="10.28515625" style="57" bestFit="1" customWidth="1"/>
    <col min="13574" max="13824" width="9.140625" style="57"/>
    <col min="13825" max="13825" width="12.28515625" style="57" customWidth="1"/>
    <col min="13826" max="13828" width="10.5703125" style="57" customWidth="1"/>
    <col min="13829" max="13829" width="10.28515625" style="57" bestFit="1" customWidth="1"/>
    <col min="13830" max="14080" width="9.140625" style="57"/>
    <col min="14081" max="14081" width="12.28515625" style="57" customWidth="1"/>
    <col min="14082" max="14084" width="10.5703125" style="57" customWidth="1"/>
    <col min="14085" max="14085" width="10.28515625" style="57" bestFit="1" customWidth="1"/>
    <col min="14086" max="14336" width="9.140625" style="57"/>
    <col min="14337" max="14337" width="12.28515625" style="57" customWidth="1"/>
    <col min="14338" max="14340" width="10.5703125" style="57" customWidth="1"/>
    <col min="14341" max="14341" width="10.28515625" style="57" bestFit="1" customWidth="1"/>
    <col min="14342" max="14592" width="9.140625" style="57"/>
    <col min="14593" max="14593" width="12.28515625" style="57" customWidth="1"/>
    <col min="14594" max="14596" width="10.5703125" style="57" customWidth="1"/>
    <col min="14597" max="14597" width="10.28515625" style="57" bestFit="1" customWidth="1"/>
    <col min="14598" max="14848" width="9.140625" style="57"/>
    <col min="14849" max="14849" width="12.28515625" style="57" customWidth="1"/>
    <col min="14850" max="14852" width="10.5703125" style="57" customWidth="1"/>
    <col min="14853" max="14853" width="10.28515625" style="57" bestFit="1" customWidth="1"/>
    <col min="14854" max="15104" width="9.140625" style="57"/>
    <col min="15105" max="15105" width="12.28515625" style="57" customWidth="1"/>
    <col min="15106" max="15108" width="10.5703125" style="57" customWidth="1"/>
    <col min="15109" max="15109" width="10.28515625" style="57" bestFit="1" customWidth="1"/>
    <col min="15110" max="15360" width="9.140625" style="57"/>
    <col min="15361" max="15361" width="12.28515625" style="57" customWidth="1"/>
    <col min="15362" max="15364" width="10.5703125" style="57" customWidth="1"/>
    <col min="15365" max="15365" width="10.28515625" style="57" bestFit="1" customWidth="1"/>
    <col min="15366" max="15616" width="9.140625" style="57"/>
    <col min="15617" max="15617" width="12.28515625" style="57" customWidth="1"/>
    <col min="15618" max="15620" width="10.5703125" style="57" customWidth="1"/>
    <col min="15621" max="15621" width="10.28515625" style="57" bestFit="1" customWidth="1"/>
    <col min="15622" max="15872" width="9.140625" style="57"/>
    <col min="15873" max="15873" width="12.28515625" style="57" customWidth="1"/>
    <col min="15874" max="15876" width="10.5703125" style="57" customWidth="1"/>
    <col min="15877" max="15877" width="10.28515625" style="57" bestFit="1" customWidth="1"/>
    <col min="15878" max="16128" width="9.140625" style="57"/>
    <col min="16129" max="16129" width="12.28515625" style="57" customWidth="1"/>
    <col min="16130" max="16132" width="10.5703125" style="57" customWidth="1"/>
    <col min="16133" max="16133" width="10.28515625" style="57" bestFit="1" customWidth="1"/>
    <col min="16134" max="16384" width="9.140625" style="57"/>
  </cols>
  <sheetData>
    <row r="1" spans="1:5">
      <c r="A1" s="57" t="s">
        <v>108</v>
      </c>
    </row>
    <row r="2" spans="1:5">
      <c r="A2" s="57" t="s">
        <v>109</v>
      </c>
    </row>
    <row r="3" spans="1:5">
      <c r="A3" s="57" t="s">
        <v>110</v>
      </c>
    </row>
    <row r="5" spans="1:5">
      <c r="A5" s="57" t="s">
        <v>111</v>
      </c>
    </row>
    <row r="6" spans="1:5">
      <c r="A6" s="57" t="s">
        <v>112</v>
      </c>
    </row>
    <row r="7" spans="1:5">
      <c r="A7" s="57" t="s">
        <v>113</v>
      </c>
    </row>
    <row r="8" spans="1:5">
      <c r="A8" s="57" t="s">
        <v>114</v>
      </c>
    </row>
    <row r="9" spans="1:5">
      <c r="A9" s="57" t="s">
        <v>115</v>
      </c>
      <c r="E9" s="57">
        <f>0.75*11700</f>
        <v>8775</v>
      </c>
    </row>
    <row r="10" spans="1:5">
      <c r="A10" s="57" t="s">
        <v>116</v>
      </c>
    </row>
    <row r="12" spans="1:5">
      <c r="A12" s="57" t="s">
        <v>117</v>
      </c>
    </row>
    <row r="13" spans="1:5" s="58" customFormat="1" ht="51">
      <c r="A13" s="58" t="s">
        <v>118</v>
      </c>
      <c r="B13" s="58" t="s">
        <v>119</v>
      </c>
      <c r="C13" s="58" t="s">
        <v>120</v>
      </c>
      <c r="D13" s="58" t="s">
        <v>121</v>
      </c>
    </row>
    <row r="14" spans="1:5">
      <c r="A14" s="59">
        <v>0.1</v>
      </c>
      <c r="B14" s="59">
        <v>0.46</v>
      </c>
      <c r="C14" s="59">
        <v>0.4</v>
      </c>
      <c r="D14" s="59">
        <v>0.32</v>
      </c>
    </row>
    <row r="15" spans="1:5">
      <c r="A15" s="59">
        <f>A14+0.1</f>
        <v>0.2</v>
      </c>
      <c r="B15" s="59">
        <v>0.51</v>
      </c>
      <c r="C15" s="59">
        <v>0.43</v>
      </c>
      <c r="D15" s="59">
        <v>0.38</v>
      </c>
    </row>
    <row r="16" spans="1:5">
      <c r="A16" s="59">
        <f t="shared" ref="A16:A23" si="0">A15+0.1</f>
        <v>0.30000000000000004</v>
      </c>
      <c r="B16" s="59">
        <v>0.56000000000000005</v>
      </c>
      <c r="C16" s="59">
        <v>0.5</v>
      </c>
      <c r="D16" s="59">
        <v>0.43</v>
      </c>
    </row>
    <row r="17" spans="1:5">
      <c r="A17" s="59">
        <f t="shared" si="0"/>
        <v>0.4</v>
      </c>
      <c r="B17" s="59">
        <v>0.62</v>
      </c>
      <c r="C17" s="59">
        <v>0.55000000000000004</v>
      </c>
      <c r="D17" s="59">
        <v>0.51</v>
      </c>
    </row>
    <row r="18" spans="1:5">
      <c r="A18" s="59">
        <f t="shared" si="0"/>
        <v>0.5</v>
      </c>
      <c r="B18" s="59">
        <v>0.68</v>
      </c>
      <c r="C18" s="59">
        <v>0.62</v>
      </c>
      <c r="D18" s="59">
        <v>0.59</v>
      </c>
    </row>
    <row r="19" spans="1:5">
      <c r="A19" s="59">
        <f t="shared" si="0"/>
        <v>0.6</v>
      </c>
      <c r="B19" s="59">
        <v>0.75</v>
      </c>
      <c r="C19" s="59">
        <v>0.7</v>
      </c>
      <c r="D19" s="59">
        <v>0.66</v>
      </c>
    </row>
    <row r="20" spans="1:5">
      <c r="A20" s="59">
        <f t="shared" si="0"/>
        <v>0.7</v>
      </c>
      <c r="B20" s="59">
        <v>0.8</v>
      </c>
      <c r="C20" s="59">
        <v>0.79</v>
      </c>
      <c r="D20" s="59">
        <v>0.76</v>
      </c>
    </row>
    <row r="21" spans="1:5">
      <c r="A21" s="59">
        <f t="shared" si="0"/>
        <v>0.79999999999999993</v>
      </c>
      <c r="B21" s="59">
        <v>0.88</v>
      </c>
      <c r="C21" s="59">
        <v>0.84</v>
      </c>
      <c r="D21" s="59">
        <v>0.82</v>
      </c>
    </row>
    <row r="22" spans="1:5">
      <c r="A22" s="59">
        <f t="shared" si="0"/>
        <v>0.89999999999999991</v>
      </c>
      <c r="B22" s="59">
        <v>0.94</v>
      </c>
      <c r="C22" s="59">
        <v>0.93</v>
      </c>
      <c r="D22" s="59">
        <v>0.91</v>
      </c>
    </row>
    <row r="23" spans="1:5">
      <c r="A23" s="59">
        <f t="shared" si="0"/>
        <v>0.99999999999999989</v>
      </c>
      <c r="B23" s="59">
        <v>1</v>
      </c>
      <c r="C23" s="59">
        <v>1</v>
      </c>
      <c r="D23" s="59">
        <v>1</v>
      </c>
    </row>
    <row r="24" spans="1:5">
      <c r="A24" s="59"/>
    </row>
    <row r="25" spans="1:5">
      <c r="A25" s="57" t="s">
        <v>122</v>
      </c>
    </row>
    <row r="26" spans="1:5">
      <c r="A26" s="57" t="s">
        <v>123</v>
      </c>
      <c r="D26" s="58"/>
      <c r="E26" s="58"/>
    </row>
    <row r="27" spans="1:5" ht="25.5">
      <c r="A27" s="58" t="s">
        <v>124</v>
      </c>
      <c r="B27" s="58" t="s">
        <v>125</v>
      </c>
      <c r="C27" s="58" t="s">
        <v>126</v>
      </c>
      <c r="D27" s="57" t="str">
        <f>"CR = " &amp; FIXED(140/25,1)</f>
        <v>CR = 5.6</v>
      </c>
      <c r="E27" s="57" t="str">
        <f>"CR = " &amp; FIXED(115/25,1)</f>
        <v>CR = 4.6</v>
      </c>
    </row>
    <row r="28" spans="1:5" ht="15">
      <c r="A28" s="59">
        <v>1</v>
      </c>
      <c r="B28" s="57">
        <v>190</v>
      </c>
      <c r="C28" s="57">
        <v>163</v>
      </c>
      <c r="D28" s="60">
        <f t="shared" ref="D28:E30" si="1">B28/$B$28</f>
        <v>1</v>
      </c>
      <c r="E28" s="60">
        <f t="shared" si="1"/>
        <v>0.85789473684210527</v>
      </c>
    </row>
    <row r="29" spans="1:5" ht="15">
      <c r="A29" s="59">
        <v>0.2</v>
      </c>
      <c r="B29" s="57">
        <v>78.3</v>
      </c>
      <c r="C29" s="57">
        <v>64.8</v>
      </c>
      <c r="D29" s="60">
        <f t="shared" si="1"/>
        <v>0.4121052631578947</v>
      </c>
      <c r="E29" s="60">
        <f t="shared" si="1"/>
        <v>0.34105263157894733</v>
      </c>
    </row>
    <row r="30" spans="1:5" ht="15">
      <c r="A30" s="59">
        <v>0.12</v>
      </c>
      <c r="B30" s="57">
        <v>71.7</v>
      </c>
      <c r="C30" s="57">
        <v>59.1</v>
      </c>
      <c r="D30" s="60">
        <f t="shared" si="1"/>
        <v>0.37736842105263158</v>
      </c>
      <c r="E30" s="60">
        <f t="shared" si="1"/>
        <v>0.31105263157894736</v>
      </c>
    </row>
    <row r="32" spans="1:5" ht="25.5">
      <c r="A32" s="61" t="s">
        <v>127</v>
      </c>
      <c r="B32" s="58" t="s">
        <v>125</v>
      </c>
      <c r="C32" s="58" t="s">
        <v>126</v>
      </c>
      <c r="D32" s="61" t="s">
        <v>128</v>
      </c>
      <c r="E32" s="61" t="s">
        <v>129</v>
      </c>
    </row>
    <row r="33" spans="1:8" ht="15">
      <c r="A33" s="59">
        <v>1</v>
      </c>
      <c r="B33" s="62">
        <f t="shared" ref="B33:C35" si="2">B28*0.745/0.9</f>
        <v>157.2777777777778</v>
      </c>
      <c r="C33" s="62">
        <f t="shared" si="2"/>
        <v>134.92777777777778</v>
      </c>
      <c r="D33" s="63">
        <f>B33-C33</f>
        <v>22.350000000000023</v>
      </c>
      <c r="E33" s="64">
        <f>D33*0.5</f>
        <v>11.175000000000011</v>
      </c>
    </row>
    <row r="34" spans="1:8" ht="15">
      <c r="A34" s="59">
        <v>0.2</v>
      </c>
      <c r="B34" s="62">
        <f t="shared" si="2"/>
        <v>64.814999999999998</v>
      </c>
      <c r="C34" s="62">
        <f t="shared" si="2"/>
        <v>53.639999999999993</v>
      </c>
      <c r="D34" s="63">
        <f>B34-C34</f>
        <v>11.175000000000004</v>
      </c>
      <c r="E34" s="64">
        <f>D34*0.5</f>
        <v>5.5875000000000021</v>
      </c>
    </row>
    <row r="35" spans="1:8" ht="15">
      <c r="A35" s="59">
        <v>0.12</v>
      </c>
      <c r="B35" s="62">
        <f t="shared" si="2"/>
        <v>59.351666666666667</v>
      </c>
      <c r="C35" s="62">
        <f t="shared" si="2"/>
        <v>48.921666666666667</v>
      </c>
      <c r="D35" s="63">
        <f>B35-C35</f>
        <v>10.43</v>
      </c>
      <c r="E35" s="64">
        <f>D35*0.5</f>
        <v>5.2149999999999999</v>
      </c>
    </row>
    <row r="36" spans="1:8">
      <c r="D36" s="65" t="s">
        <v>130</v>
      </c>
      <c r="E36" s="64">
        <f>E34</f>
        <v>5.5875000000000021</v>
      </c>
    </row>
    <row r="37" spans="1:8">
      <c r="D37" s="65" t="s">
        <v>131</v>
      </c>
      <c r="E37" s="57">
        <f>10*8760/12</f>
        <v>7300</v>
      </c>
    </row>
    <row r="38" spans="1:8">
      <c r="A38" s="66"/>
      <c r="B38" s="66"/>
      <c r="C38" s="66"/>
      <c r="D38" s="67" t="s">
        <v>132</v>
      </c>
      <c r="E38" s="68">
        <f>E36*E37</f>
        <v>40788.750000000015</v>
      </c>
    </row>
    <row r="39" spans="1:8">
      <c r="A39" s="69"/>
      <c r="B39" s="69"/>
      <c r="C39" s="69"/>
      <c r="D39" s="70" t="s">
        <v>133</v>
      </c>
      <c r="E39" s="71">
        <f>E38/15</f>
        <v>2719.2500000000009</v>
      </c>
    </row>
    <row r="40" spans="1:8">
      <c r="A40" s="72" t="s">
        <v>134</v>
      </c>
    </row>
    <row r="41" spans="1:8">
      <c r="A41" s="72" t="s">
        <v>135</v>
      </c>
    </row>
    <row r="47" spans="1:8">
      <c r="G47" s="57">
        <v>455</v>
      </c>
      <c r="H47" s="57">
        <v>200</v>
      </c>
    </row>
    <row r="48" spans="1:8">
      <c r="G48" s="57">
        <v>8760</v>
      </c>
      <c r="H48" s="57">
        <v>4000</v>
      </c>
    </row>
    <row r="49" spans="7:9">
      <c r="G49" s="57">
        <f>G47*G48/1000</f>
        <v>3985.8</v>
      </c>
      <c r="H49" s="57">
        <f>H47*H48/1000</f>
        <v>800</v>
      </c>
      <c r="I49" s="57">
        <f>G49-H49</f>
        <v>3185.8</v>
      </c>
    </row>
    <row r="50" spans="7:9">
      <c r="I50" s="57">
        <f>I49*0.15</f>
        <v>477.87</v>
      </c>
    </row>
  </sheetData>
  <pageMargins left="0.7" right="0.7" top="0.75" bottom="0.75" header="0.3" footer="0.3"/>
  <pageSetup scale="73" orientation="landscape" r:id="rId1"/>
  <drawing r:id="rId2"/>
</worksheet>
</file>

<file path=xl/worksheets/sheet6.xml><?xml version="1.0" encoding="utf-8"?>
<worksheet xmlns="http://schemas.openxmlformats.org/spreadsheetml/2006/main" xmlns:r="http://schemas.openxmlformats.org/officeDocument/2006/relationships">
  <sheetPr codeName="Sheet6"/>
  <dimension ref="A1:G8"/>
  <sheetViews>
    <sheetView workbookViewId="0">
      <selection activeCell="K30" sqref="A12:K30"/>
    </sheetView>
  </sheetViews>
  <sheetFormatPr defaultRowHeight="15"/>
  <sheetData>
    <row r="1" spans="1:7">
      <c r="A1" s="33" t="s">
        <v>66</v>
      </c>
      <c r="B1" s="33" t="s">
        <v>67</v>
      </c>
      <c r="C1" s="33" t="s">
        <v>68</v>
      </c>
      <c r="D1" s="33" t="s">
        <v>69</v>
      </c>
      <c r="E1" s="33" t="s">
        <v>70</v>
      </c>
      <c r="F1" s="33" t="s">
        <v>214</v>
      </c>
      <c r="G1" s="34" t="s">
        <v>175</v>
      </c>
    </row>
    <row r="2" spans="1:7">
      <c r="A2" s="34">
        <v>1</v>
      </c>
      <c r="B2" s="33" t="s">
        <v>71</v>
      </c>
      <c r="C2" s="34">
        <v>0</v>
      </c>
      <c r="D2" s="34">
        <v>0</v>
      </c>
      <c r="E2" s="35">
        <v>0</v>
      </c>
      <c r="F2" s="33"/>
      <c r="G2" s="34">
        <v>289014</v>
      </c>
    </row>
    <row r="3" spans="1:7">
      <c r="A3" s="34">
        <v>2</v>
      </c>
      <c r="B3" s="33" t="s">
        <v>72</v>
      </c>
      <c r="C3" s="34">
        <v>2.7E-2</v>
      </c>
      <c r="D3" s="34">
        <v>0</v>
      </c>
      <c r="E3" s="35">
        <v>0.13</v>
      </c>
      <c r="F3" s="33" t="s">
        <v>215</v>
      </c>
      <c r="G3" s="34">
        <v>289014</v>
      </c>
    </row>
    <row r="4" spans="1:7">
      <c r="A4" s="34">
        <v>3</v>
      </c>
      <c r="B4" s="33" t="s">
        <v>34</v>
      </c>
      <c r="C4" s="34">
        <v>2.35E-2</v>
      </c>
      <c r="D4" s="34">
        <v>2.4</v>
      </c>
      <c r="E4" s="35">
        <v>0.13</v>
      </c>
      <c r="F4" s="33" t="s">
        <v>215</v>
      </c>
      <c r="G4" s="34">
        <v>289014</v>
      </c>
    </row>
    <row r="5" spans="1:7">
      <c r="A5" s="34">
        <v>4</v>
      </c>
      <c r="B5" s="33" t="s">
        <v>73</v>
      </c>
      <c r="C5" s="34">
        <f>(0.0126)*1.09</f>
        <v>1.3734000000000001E-2</v>
      </c>
      <c r="D5" s="34">
        <f>3.23*1.09</f>
        <v>3.5207000000000002</v>
      </c>
      <c r="E5" s="35">
        <v>0.15</v>
      </c>
      <c r="F5" s="33" t="s">
        <v>216</v>
      </c>
      <c r="G5" s="34">
        <v>260969</v>
      </c>
    </row>
    <row r="6" spans="1:7">
      <c r="A6" s="34">
        <v>5</v>
      </c>
      <c r="B6" s="33" t="s">
        <v>74</v>
      </c>
      <c r="C6" s="34">
        <f>(0.0141*0.6+0.009*0.4)*1.09</f>
        <v>1.3145399999999998E-2</v>
      </c>
      <c r="D6" s="34">
        <f>3.23*1.09</f>
        <v>3.5207000000000002</v>
      </c>
      <c r="E6" s="35">
        <v>0.15</v>
      </c>
      <c r="F6" s="33" t="s">
        <v>216</v>
      </c>
      <c r="G6" s="34">
        <v>260969</v>
      </c>
    </row>
    <row r="7" spans="1:7">
      <c r="A7" s="33" t="s">
        <v>66</v>
      </c>
      <c r="B7" s="34"/>
      <c r="C7" s="34"/>
      <c r="D7" s="34"/>
      <c r="E7" s="35"/>
      <c r="G7" s="34"/>
    </row>
    <row r="8" spans="1:7">
      <c r="A8" s="34">
        <v>3</v>
      </c>
      <c r="B8" s="34" t="str">
        <f>DGET($A$1:$G$6,B$1,$A$7:$A$8)</f>
        <v>Sch. 2, Commercial &gt;40 kW</v>
      </c>
      <c r="C8" s="34">
        <f t="shared" ref="C8:G8" si="0">DGET($A$1:$G$6,C$1,$A$7:$A$8)</f>
        <v>2.35E-2</v>
      </c>
      <c r="D8" s="34">
        <f t="shared" si="0"/>
        <v>2.4</v>
      </c>
      <c r="E8" s="34">
        <f t="shared" si="0"/>
        <v>0.13</v>
      </c>
      <c r="F8" s="34" t="str">
        <f>IF(ISERR(DGET($A$1:$G$6,F$1,$A$7:$A$8)),"",DGET($A$1:$G$6,F$1,$A$7:$A$8))</f>
        <v>Commercial</v>
      </c>
      <c r="G8" s="34">
        <f t="shared" si="0"/>
        <v>289014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dimension ref="A1:F16"/>
  <sheetViews>
    <sheetView workbookViewId="0">
      <selection activeCell="K30" sqref="A12:K30"/>
    </sheetView>
  </sheetViews>
  <sheetFormatPr defaultRowHeight="15"/>
  <cols>
    <col min="1" max="1" width="17.140625" customWidth="1"/>
    <col min="2" max="2" width="11.140625" customWidth="1"/>
    <col min="3" max="3" width="10.85546875" customWidth="1"/>
    <col min="4" max="4" width="13.28515625" bestFit="1" customWidth="1"/>
    <col min="5" max="5" width="10.5703125" bestFit="1" customWidth="1"/>
  </cols>
  <sheetData>
    <row r="1" spans="1:6">
      <c r="A1" t="s">
        <v>158</v>
      </c>
    </row>
    <row r="2" spans="1:6">
      <c r="A2" t="s">
        <v>159</v>
      </c>
    </row>
    <row r="3" spans="1:6">
      <c r="A3" t="s">
        <v>160</v>
      </c>
    </row>
    <row r="4" spans="1:6">
      <c r="A4" s="21">
        <v>0.8</v>
      </c>
      <c r="B4" t="s">
        <v>173</v>
      </c>
    </row>
    <row r="5" spans="1:6" s="26" customFormat="1" ht="45">
      <c r="B5" s="26" t="s">
        <v>174</v>
      </c>
      <c r="C5" s="26" t="s">
        <v>170</v>
      </c>
      <c r="D5" s="26" t="s">
        <v>23</v>
      </c>
      <c r="E5" s="26" t="str">
        <f>A4*100 &amp; "% Est. Annual Savings"</f>
        <v>80% Est. Annual Savings</v>
      </c>
    </row>
    <row r="6" spans="1:6">
      <c r="A6" t="s">
        <v>161</v>
      </c>
      <c r="B6">
        <f>3.7+12</f>
        <v>15.7</v>
      </c>
      <c r="C6">
        <f>365*24*22/24</f>
        <v>8030</v>
      </c>
      <c r="D6" s="12">
        <f>B6*C6</f>
        <v>126071</v>
      </c>
      <c r="E6" s="19">
        <f>D6*A$4</f>
        <v>100856.8</v>
      </c>
    </row>
    <row r="7" spans="1:6">
      <c r="A7" t="s">
        <v>162</v>
      </c>
      <c r="B7">
        <f>3.6+12.4</f>
        <v>16</v>
      </c>
      <c r="C7">
        <f t="shared" ref="C7:C13" si="0">365*24*22/24</f>
        <v>8030</v>
      </c>
      <c r="D7" s="12">
        <f t="shared" ref="D7:D13" si="1">B7*C7</f>
        <v>128480</v>
      </c>
      <c r="E7" s="19">
        <f t="shared" ref="E7:E13" si="2">D7*A$4</f>
        <v>102784</v>
      </c>
    </row>
    <row r="8" spans="1:6">
      <c r="A8" t="s">
        <v>163</v>
      </c>
      <c r="B8">
        <f>3.5+12.4</f>
        <v>15.9</v>
      </c>
      <c r="C8">
        <f t="shared" si="0"/>
        <v>8030</v>
      </c>
      <c r="D8" s="12">
        <f t="shared" si="1"/>
        <v>127677</v>
      </c>
      <c r="E8" s="19">
        <f t="shared" si="2"/>
        <v>102141.6</v>
      </c>
    </row>
    <row r="9" spans="1:6">
      <c r="A9" t="s">
        <v>166</v>
      </c>
      <c r="B9">
        <f>3.5+12.2</f>
        <v>15.7</v>
      </c>
      <c r="C9">
        <f t="shared" si="0"/>
        <v>8030</v>
      </c>
      <c r="D9" s="12">
        <f t="shared" si="1"/>
        <v>126071</v>
      </c>
      <c r="E9" s="19">
        <f t="shared" si="2"/>
        <v>100856.8</v>
      </c>
    </row>
    <row r="10" spans="1:6">
      <c r="A10" t="s">
        <v>164</v>
      </c>
      <c r="B10">
        <f>3.6+12.2</f>
        <v>15.799999999999999</v>
      </c>
      <c r="C10">
        <f t="shared" si="0"/>
        <v>8030</v>
      </c>
      <c r="D10" s="12">
        <f t="shared" si="1"/>
        <v>126873.99999999999</v>
      </c>
      <c r="E10" s="19">
        <f t="shared" si="2"/>
        <v>101499.2</v>
      </c>
    </row>
    <row r="11" spans="1:6">
      <c r="A11" t="s">
        <v>167</v>
      </c>
      <c r="B11">
        <f>3.4+12.3</f>
        <v>15.700000000000001</v>
      </c>
      <c r="C11">
        <f t="shared" si="0"/>
        <v>8030</v>
      </c>
      <c r="D11" s="12">
        <f t="shared" si="1"/>
        <v>126071.00000000001</v>
      </c>
      <c r="E11" s="19">
        <f t="shared" si="2"/>
        <v>100856.80000000002</v>
      </c>
    </row>
    <row r="12" spans="1:6">
      <c r="A12" t="s">
        <v>165</v>
      </c>
      <c r="B12">
        <f>3.5+12.3</f>
        <v>15.8</v>
      </c>
      <c r="C12">
        <f t="shared" si="0"/>
        <v>8030</v>
      </c>
      <c r="D12" s="12">
        <f t="shared" si="1"/>
        <v>126874</v>
      </c>
      <c r="E12" s="19">
        <f t="shared" si="2"/>
        <v>101499.20000000001</v>
      </c>
    </row>
    <row r="13" spans="1:6">
      <c r="A13" t="s">
        <v>168</v>
      </c>
      <c r="B13">
        <f>3.6+12.1</f>
        <v>15.7</v>
      </c>
      <c r="C13">
        <f t="shared" si="0"/>
        <v>8030</v>
      </c>
      <c r="D13" s="12">
        <f t="shared" si="1"/>
        <v>126071</v>
      </c>
      <c r="E13" s="19">
        <f t="shared" si="2"/>
        <v>100856.8</v>
      </c>
    </row>
    <row r="14" spans="1:6">
      <c r="A14" s="41" t="s">
        <v>169</v>
      </c>
      <c r="B14" s="41">
        <f>SUM(B6:B13)</f>
        <v>126.3</v>
      </c>
      <c r="C14" s="41" t="s">
        <v>171</v>
      </c>
      <c r="D14" s="113">
        <f t="shared" ref="D14:E14" si="3">SUM(D6:D13)</f>
        <v>1014189</v>
      </c>
      <c r="E14" s="113">
        <f t="shared" si="3"/>
        <v>811351.20000000019</v>
      </c>
      <c r="F14" t="s">
        <v>172</v>
      </c>
    </row>
    <row r="15" spans="1:6">
      <c r="E15" s="22">
        <f>E14*0.022</f>
        <v>17849.726400000003</v>
      </c>
    </row>
    <row r="16" spans="1:6">
      <c r="E16" s="22">
        <f>E14*0.06</f>
        <v>48681.072000000007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Z38"/>
  <sheetViews>
    <sheetView zoomScale="103" workbookViewId="0">
      <pane xSplit="1" ySplit="4" topLeftCell="L5" activePane="bottomRight" state="frozen"/>
      <selection activeCell="K30" sqref="A12:K30"/>
      <selection pane="topRight" activeCell="K30" sqref="A12:K30"/>
      <selection pane="bottomLeft" activeCell="K30" sqref="A12:K30"/>
      <selection pane="bottomRight" activeCell="K30" sqref="A12:K30"/>
    </sheetView>
  </sheetViews>
  <sheetFormatPr defaultColWidth="9.140625" defaultRowHeight="12.75"/>
  <cols>
    <col min="1" max="1" width="9.140625" style="34"/>
    <col min="2" max="2" width="14.5703125" style="34" customWidth="1"/>
    <col min="3" max="3" width="10.28515625" style="34" customWidth="1"/>
    <col min="4" max="4" width="40.28515625" style="34" customWidth="1"/>
    <col min="5" max="5" width="24.28515625" style="34" customWidth="1"/>
    <col min="6" max="6" width="34" style="34" customWidth="1"/>
    <col min="7" max="9" width="11.42578125" style="34" customWidth="1"/>
    <col min="10" max="11" width="10.7109375" style="34" customWidth="1"/>
    <col min="12" max="12" width="15.7109375" style="34" customWidth="1"/>
    <col min="13" max="13" width="14" style="34" customWidth="1"/>
    <col min="14" max="14" width="17.42578125" style="34" customWidth="1"/>
    <col min="15" max="15" width="19" style="34" customWidth="1"/>
    <col min="16" max="16" width="17" style="34" customWidth="1"/>
    <col min="17" max="17" width="14.42578125" style="34" customWidth="1"/>
    <col min="18" max="18" width="10.42578125" style="34" customWidth="1"/>
    <col min="19" max="16384" width="9.140625" style="34"/>
  </cols>
  <sheetData>
    <row r="1" spans="1:26">
      <c r="D1" s="179" t="s">
        <v>66</v>
      </c>
      <c r="E1" s="179" t="s">
        <v>66</v>
      </c>
      <c r="F1" s="180">
        <v>1</v>
      </c>
      <c r="G1" s="180">
        <v>2</v>
      </c>
      <c r="H1" s="180">
        <v>3</v>
      </c>
      <c r="I1" s="180">
        <v>4</v>
      </c>
      <c r="J1" s="180">
        <v>5</v>
      </c>
      <c r="K1" s="180">
        <v>6</v>
      </c>
      <c r="L1" s="180">
        <v>7</v>
      </c>
      <c r="M1" s="180">
        <v>8</v>
      </c>
      <c r="N1" s="180">
        <v>9</v>
      </c>
      <c r="O1" s="180">
        <v>10</v>
      </c>
      <c r="P1" s="180">
        <v>11</v>
      </c>
      <c r="Q1" s="180">
        <v>12</v>
      </c>
      <c r="R1" s="180">
        <v>13</v>
      </c>
      <c r="S1" s="180">
        <v>14</v>
      </c>
      <c r="T1" s="180">
        <v>15</v>
      </c>
      <c r="U1" s="180">
        <v>16</v>
      </c>
      <c r="V1" s="180">
        <v>17</v>
      </c>
      <c r="W1" s="180">
        <v>18</v>
      </c>
      <c r="X1" s="180">
        <v>19</v>
      </c>
      <c r="Y1" s="180">
        <v>20</v>
      </c>
      <c r="Z1" s="180">
        <v>21</v>
      </c>
    </row>
    <row r="2" spans="1:26" ht="39" thickBot="1">
      <c r="D2" s="181">
        <v>15</v>
      </c>
      <c r="E2" s="181">
        <v>8</v>
      </c>
      <c r="M2" s="182" t="s">
        <v>248</v>
      </c>
    </row>
    <row r="3" spans="1:26" ht="26.45" customHeight="1">
      <c r="B3" s="183" t="s">
        <v>249</v>
      </c>
      <c r="C3" s="184"/>
      <c r="D3" s="184"/>
      <c r="E3" s="185"/>
      <c r="G3" s="186" t="s">
        <v>250</v>
      </c>
      <c r="H3" s="187"/>
      <c r="I3" s="187"/>
      <c r="J3" s="187"/>
      <c r="M3" s="188">
        <v>0.46450000000000002</v>
      </c>
      <c r="N3" s="189" t="s">
        <v>251</v>
      </c>
      <c r="O3" s="189"/>
      <c r="P3" s="189"/>
      <c r="Q3" s="189"/>
    </row>
    <row r="4" spans="1:26" ht="63.75">
      <c r="A4" s="33" t="s">
        <v>66</v>
      </c>
      <c r="B4" s="190" t="s">
        <v>252</v>
      </c>
      <c r="C4" s="190" t="s">
        <v>253</v>
      </c>
      <c r="D4" s="190" t="s">
        <v>254</v>
      </c>
      <c r="E4" s="191" t="s">
        <v>255</v>
      </c>
      <c r="F4" s="192" t="s">
        <v>256</v>
      </c>
      <c r="G4" s="193" t="s">
        <v>257</v>
      </c>
      <c r="H4" s="193" t="s">
        <v>258</v>
      </c>
      <c r="I4" s="193" t="s">
        <v>259</v>
      </c>
      <c r="J4" s="193" t="s">
        <v>260</v>
      </c>
      <c r="K4" s="193" t="s">
        <v>261</v>
      </c>
      <c r="L4" s="194" t="s">
        <v>262</v>
      </c>
      <c r="M4" s="193" t="s">
        <v>263</v>
      </c>
      <c r="N4" s="193" t="s">
        <v>257</v>
      </c>
      <c r="O4" s="193" t="s">
        <v>258</v>
      </c>
      <c r="P4" s="193" t="s">
        <v>259</v>
      </c>
      <c r="Q4" s="193" t="s">
        <v>260</v>
      </c>
      <c r="R4" s="195" t="s">
        <v>264</v>
      </c>
    </row>
    <row r="5" spans="1:26">
      <c r="A5" s="180">
        <v>1</v>
      </c>
      <c r="B5" s="34" t="s">
        <v>265</v>
      </c>
      <c r="C5" s="34" t="s">
        <v>266</v>
      </c>
      <c r="D5" s="196" t="s">
        <v>71</v>
      </c>
      <c r="E5" s="196" t="s">
        <v>71</v>
      </c>
      <c r="F5" s="192"/>
      <c r="G5" s="193"/>
      <c r="H5" s="193"/>
      <c r="I5" s="193"/>
      <c r="J5" s="193"/>
      <c r="K5" s="193"/>
      <c r="L5" s="194"/>
      <c r="M5" s="193"/>
      <c r="N5" s="193"/>
      <c r="O5" s="193"/>
      <c r="P5" s="193"/>
      <c r="Q5" s="193"/>
      <c r="R5" s="195"/>
      <c r="S5" s="33" t="s">
        <v>66</v>
      </c>
      <c r="T5" s="33" t="s">
        <v>67</v>
      </c>
      <c r="U5" s="33" t="s">
        <v>68</v>
      </c>
      <c r="V5" s="33" t="s">
        <v>69</v>
      </c>
      <c r="W5" s="33" t="s">
        <v>70</v>
      </c>
      <c r="X5" s="33" t="s">
        <v>267</v>
      </c>
      <c r="Y5" s="33" t="s">
        <v>268</v>
      </c>
      <c r="Z5" s="33" t="s">
        <v>269</v>
      </c>
    </row>
    <row r="6" spans="1:26">
      <c r="A6" s="180">
        <v>2</v>
      </c>
      <c r="B6" s="34" t="s">
        <v>270</v>
      </c>
      <c r="C6" s="34" t="s">
        <v>266</v>
      </c>
      <c r="D6" s="197" t="s">
        <v>271</v>
      </c>
      <c r="E6" s="197" t="s">
        <v>272</v>
      </c>
      <c r="F6" s="198" t="s">
        <v>271</v>
      </c>
      <c r="G6" s="199">
        <v>0.91608194383829877</v>
      </c>
      <c r="H6" s="199">
        <v>1.02</v>
      </c>
      <c r="I6" s="199">
        <v>1.0792819438382986</v>
      </c>
      <c r="J6" s="199">
        <v>1</v>
      </c>
      <c r="K6" s="190">
        <v>4200</v>
      </c>
      <c r="L6" s="200">
        <v>-8.1887999999999996E-3</v>
      </c>
      <c r="M6" s="201">
        <f t="shared" ref="M6:M27" si="0">$M$3*L6</f>
        <v>-3.8036976000000002E-3</v>
      </c>
      <c r="N6" s="202" t="str">
        <f t="shared" ref="N6:N21" si="1">CONCATENATE("Ex",C5,"ElecHt")</f>
        <v>ExLgOffElecHt</v>
      </c>
      <c r="O6" s="202" t="str">
        <f t="shared" ref="O6:O21" si="2">CONCATENATE("Ex",C5,"HtPmpHt")</f>
        <v>ExLgOffHtPmpHt</v>
      </c>
      <c r="P6" s="202" t="str">
        <f t="shared" ref="P6:P21" si="3">CONCATENATE("Ex",C5,"GasHt")</f>
        <v>ExLgOffGasHt</v>
      </c>
      <c r="Q6" s="198" t="str">
        <f t="shared" ref="Q6:Q22" si="4">CONCATENATE("Ex",C5)</f>
        <v>ExLgOff</v>
      </c>
      <c r="R6" s="190">
        <v>12</v>
      </c>
      <c r="S6" s="34">
        <v>1</v>
      </c>
      <c r="T6" s="33" t="s">
        <v>71</v>
      </c>
      <c r="U6" s="34">
        <v>0</v>
      </c>
      <c r="V6" s="34">
        <v>0</v>
      </c>
      <c r="W6" s="35">
        <v>0</v>
      </c>
      <c r="X6" s="33"/>
      <c r="Y6" s="34">
        <v>289014</v>
      </c>
      <c r="Z6" s="34">
        <v>556000</v>
      </c>
    </row>
    <row r="7" spans="1:26">
      <c r="A7" s="180">
        <v>3</v>
      </c>
      <c r="B7" s="34" t="s">
        <v>273</v>
      </c>
      <c r="C7" s="34" t="s">
        <v>274</v>
      </c>
      <c r="D7" s="197" t="s">
        <v>275</v>
      </c>
      <c r="E7" s="197" t="s">
        <v>276</v>
      </c>
      <c r="F7" s="198" t="s">
        <v>275</v>
      </c>
      <c r="G7" s="199">
        <v>0.90507113507518966</v>
      </c>
      <c r="H7" s="199">
        <v>1.02</v>
      </c>
      <c r="I7" s="199">
        <v>1.0682711350751894</v>
      </c>
      <c r="J7" s="199">
        <v>1</v>
      </c>
      <c r="K7" s="190">
        <v>3600</v>
      </c>
      <c r="L7" s="200">
        <v>-8.1887999999999996E-3</v>
      </c>
      <c r="M7" s="201">
        <f t="shared" si="0"/>
        <v>-3.8036976000000002E-3</v>
      </c>
      <c r="N7" s="202" t="str">
        <f t="shared" si="1"/>
        <v>ExLgOffElecHt</v>
      </c>
      <c r="O7" s="202" t="str">
        <f t="shared" si="2"/>
        <v>ExLgOffHtPmpHt</v>
      </c>
      <c r="P7" s="202" t="str">
        <f t="shared" si="3"/>
        <v>ExLgOffGasHt</v>
      </c>
      <c r="Q7" s="198" t="str">
        <f t="shared" si="4"/>
        <v>ExLgOff</v>
      </c>
      <c r="R7" s="190">
        <v>12</v>
      </c>
      <c r="S7" s="34">
        <v>2</v>
      </c>
      <c r="T7" s="33" t="s">
        <v>72</v>
      </c>
      <c r="U7" s="34">
        <f>0.027</f>
        <v>2.7E-2</v>
      </c>
      <c r="V7" s="34">
        <v>0</v>
      </c>
      <c r="W7" s="35">
        <v>0.06</v>
      </c>
      <c r="X7" s="33" t="s">
        <v>215</v>
      </c>
      <c r="Y7" s="34">
        <v>289014</v>
      </c>
      <c r="Z7" s="34">
        <v>556000</v>
      </c>
    </row>
    <row r="8" spans="1:26">
      <c r="A8" s="180">
        <v>4</v>
      </c>
      <c r="B8" s="34" t="s">
        <v>277</v>
      </c>
      <c r="C8" s="34" t="s">
        <v>278</v>
      </c>
      <c r="D8" s="197" t="s">
        <v>279</v>
      </c>
      <c r="E8" s="203" t="s">
        <v>258</v>
      </c>
      <c r="F8" s="198" t="s">
        <v>279</v>
      </c>
      <c r="G8" s="199">
        <v>0.69090427312002767</v>
      </c>
      <c r="H8" s="199">
        <v>0.95499999999999996</v>
      </c>
      <c r="I8" s="199">
        <v>1.1170376064533609</v>
      </c>
      <c r="J8" s="199">
        <v>1</v>
      </c>
      <c r="K8" s="190">
        <v>3000</v>
      </c>
      <c r="L8" s="200">
        <v>-2.1381866666666666E-2</v>
      </c>
      <c r="M8" s="201">
        <f t="shared" si="0"/>
        <v>-9.9318770666666674E-3</v>
      </c>
      <c r="N8" s="202" t="str">
        <f t="shared" si="1"/>
        <v>ExSmOffElecHt</v>
      </c>
      <c r="O8" s="202" t="str">
        <f t="shared" si="2"/>
        <v>ExSmOffHtPmpHt</v>
      </c>
      <c r="P8" s="202" t="str">
        <f t="shared" si="3"/>
        <v>ExSmOffGasHt</v>
      </c>
      <c r="Q8" s="198" t="str">
        <f t="shared" si="4"/>
        <v>ExSmOff</v>
      </c>
      <c r="R8" s="190">
        <v>12</v>
      </c>
      <c r="S8" s="34">
        <v>3</v>
      </c>
      <c r="T8" s="33" t="s">
        <v>34</v>
      </c>
      <c r="U8" s="34">
        <f>0.0235</f>
        <v>2.35E-2</v>
      </c>
      <c r="V8" s="34">
        <v>2.4</v>
      </c>
      <c r="W8" s="35">
        <v>0.06</v>
      </c>
      <c r="X8" s="33" t="s">
        <v>215</v>
      </c>
      <c r="Y8" s="34">
        <v>289014</v>
      </c>
      <c r="Z8" s="34">
        <v>556000</v>
      </c>
    </row>
    <row r="9" spans="1:26">
      <c r="A9" s="180">
        <v>5</v>
      </c>
      <c r="B9" s="34" t="s">
        <v>280</v>
      </c>
      <c r="C9" s="34" t="s">
        <v>281</v>
      </c>
      <c r="D9" s="197" t="s">
        <v>282</v>
      </c>
      <c r="E9" s="33" t="s">
        <v>283</v>
      </c>
      <c r="F9" s="198" t="s">
        <v>282</v>
      </c>
      <c r="G9" s="199">
        <v>0.81860997890071918</v>
      </c>
      <c r="H9" s="199">
        <v>1.0249999999999999</v>
      </c>
      <c r="I9" s="199">
        <v>1.1178099789007192</v>
      </c>
      <c r="J9" s="199">
        <v>1</v>
      </c>
      <c r="K9" s="190">
        <v>4800</v>
      </c>
      <c r="L9" s="200">
        <v>-1.50128E-2</v>
      </c>
      <c r="M9" s="201">
        <f t="shared" si="0"/>
        <v>-6.9734456000000002E-3</v>
      </c>
      <c r="N9" s="202" t="str">
        <f t="shared" si="1"/>
        <v>ExLgRetElecHt</v>
      </c>
      <c r="O9" s="202" t="str">
        <f t="shared" si="2"/>
        <v>ExLgRetHtPmpHt</v>
      </c>
      <c r="P9" s="202" t="str">
        <f t="shared" si="3"/>
        <v>ExLgRetGasHt</v>
      </c>
      <c r="Q9" s="198" t="str">
        <f t="shared" si="4"/>
        <v>ExLgRet</v>
      </c>
      <c r="R9" s="190">
        <v>12</v>
      </c>
      <c r="S9" s="34">
        <v>4</v>
      </c>
      <c r="T9" s="33" t="s">
        <v>73</v>
      </c>
      <c r="U9" s="34">
        <f>(0.0135)</f>
        <v>1.35E-2</v>
      </c>
      <c r="V9" s="34">
        <v>3.23</v>
      </c>
      <c r="W9" s="35">
        <v>0.15</v>
      </c>
      <c r="X9" s="33" t="s">
        <v>216</v>
      </c>
      <c r="Y9" s="34">
        <v>260969</v>
      </c>
      <c r="Z9" s="34">
        <v>556000</v>
      </c>
    </row>
    <row r="10" spans="1:26">
      <c r="A10" s="180">
        <v>6</v>
      </c>
      <c r="B10" s="34" t="s">
        <v>284</v>
      </c>
      <c r="C10" s="34" t="s">
        <v>281</v>
      </c>
      <c r="D10" s="197" t="s">
        <v>285</v>
      </c>
      <c r="E10" s="197" t="s">
        <v>286</v>
      </c>
      <c r="F10" s="198" t="s">
        <v>285</v>
      </c>
      <c r="G10" s="199">
        <v>0.68089046306021284</v>
      </c>
      <c r="H10" s="199">
        <v>0.92500000000000004</v>
      </c>
      <c r="I10" s="199">
        <v>1.034490463060213</v>
      </c>
      <c r="J10" s="199">
        <v>1</v>
      </c>
      <c r="K10" s="190">
        <v>3900</v>
      </c>
      <c r="L10" s="200">
        <v>-1.7742399999999998E-2</v>
      </c>
      <c r="M10" s="201">
        <f t="shared" si="0"/>
        <v>-8.2413447999999997E-3</v>
      </c>
      <c r="N10" s="202" t="str">
        <f t="shared" si="1"/>
        <v>ExSmRetElecHt</v>
      </c>
      <c r="O10" s="202" t="str">
        <f t="shared" si="2"/>
        <v>ExSmRetHtPmpHt</v>
      </c>
      <c r="P10" s="202" t="str">
        <f t="shared" si="3"/>
        <v>ExSmRetGasHt</v>
      </c>
      <c r="Q10" s="198" t="str">
        <f t="shared" si="4"/>
        <v>ExSmRet</v>
      </c>
      <c r="R10" s="190">
        <v>12</v>
      </c>
      <c r="S10" s="34">
        <v>5</v>
      </c>
      <c r="T10" s="33" t="s">
        <v>74</v>
      </c>
      <c r="U10" s="34">
        <f>0.0155*0.6+0.01*0.4</f>
        <v>1.3299999999999999E-2</v>
      </c>
      <c r="V10" s="34">
        <v>3.23</v>
      </c>
      <c r="W10" s="35">
        <v>0.15</v>
      </c>
      <c r="X10" s="33" t="s">
        <v>216</v>
      </c>
      <c r="Y10" s="34">
        <v>260969</v>
      </c>
      <c r="Z10" s="34">
        <v>556000</v>
      </c>
    </row>
    <row r="11" spans="1:26">
      <c r="A11" s="180">
        <v>7</v>
      </c>
      <c r="B11" s="34" t="s">
        <v>287</v>
      </c>
      <c r="C11" s="34" t="s">
        <v>278</v>
      </c>
      <c r="D11" s="197" t="s">
        <v>288</v>
      </c>
      <c r="E11" s="33" t="s">
        <v>289</v>
      </c>
      <c r="F11" s="198" t="s">
        <v>288</v>
      </c>
      <c r="G11" s="199">
        <v>0.76309370940250187</v>
      </c>
      <c r="H11" s="199">
        <v>0.97499999999999998</v>
      </c>
      <c r="I11" s="199">
        <v>1.0441603760691687</v>
      </c>
      <c r="J11" s="199">
        <v>1</v>
      </c>
      <c r="K11" s="190">
        <v>3400</v>
      </c>
      <c r="L11" s="200">
        <v>-1.4102933333333333E-2</v>
      </c>
      <c r="M11" s="201">
        <f t="shared" si="0"/>
        <v>-6.5508125333333337E-3</v>
      </c>
      <c r="N11" s="202" t="str">
        <f t="shared" si="1"/>
        <v>ExSmRetElecHt</v>
      </c>
      <c r="O11" s="202" t="str">
        <f t="shared" si="2"/>
        <v>ExSmRetHtPmpHt</v>
      </c>
      <c r="P11" s="202" t="str">
        <f t="shared" si="3"/>
        <v>ExSmRetGasHt</v>
      </c>
      <c r="Q11" s="198" t="str">
        <f t="shared" si="4"/>
        <v>ExSmRet</v>
      </c>
      <c r="R11" s="190">
        <v>12</v>
      </c>
      <c r="S11" s="33" t="s">
        <v>66</v>
      </c>
      <c r="W11" s="35"/>
      <c r="X11" s="34" t="str">
        <f>DGET($S$5:$X$10,X$5,$S$11:$S$12)</f>
        <v>Commercial</v>
      </c>
    </row>
    <row r="12" spans="1:26">
      <c r="A12" s="180">
        <v>8</v>
      </c>
      <c r="B12" s="34" t="s">
        <v>290</v>
      </c>
      <c r="C12" s="34" t="s">
        <v>291</v>
      </c>
      <c r="D12" s="197" t="s">
        <v>292</v>
      </c>
      <c r="E12" s="204" t="s">
        <v>260</v>
      </c>
      <c r="F12" s="198" t="s">
        <v>292</v>
      </c>
      <c r="G12" s="199">
        <v>0.7107865827309866</v>
      </c>
      <c r="H12" s="199">
        <v>0.96499999999999997</v>
      </c>
      <c r="I12" s="199">
        <v>1.1006532493976531</v>
      </c>
      <c r="J12" s="199">
        <v>1</v>
      </c>
      <c r="K12" s="190">
        <v>4000</v>
      </c>
      <c r="L12" s="200">
        <v>-1.9562133333333332E-2</v>
      </c>
      <c r="M12" s="201">
        <f t="shared" si="0"/>
        <v>-9.0866109333333327E-3</v>
      </c>
      <c r="N12" s="202" t="str">
        <f t="shared" si="1"/>
        <v>ExLgRetElecHt</v>
      </c>
      <c r="O12" s="202" t="str">
        <f t="shared" si="2"/>
        <v>ExLgRetHtPmpHt</v>
      </c>
      <c r="P12" s="202" t="str">
        <f t="shared" si="3"/>
        <v>ExLgRetGasHt</v>
      </c>
      <c r="Q12" s="198" t="str">
        <f t="shared" si="4"/>
        <v>ExLgRet</v>
      </c>
      <c r="R12" s="190">
        <v>12</v>
      </c>
      <c r="S12" s="34">
        <v>2</v>
      </c>
      <c r="T12" s="34" t="str">
        <f>DGET($S$5:$Z$10,T$5,$S$11:$S$12)</f>
        <v>Sch. 2, Commercial &lt;40 kW</v>
      </c>
      <c r="U12" s="34">
        <f t="shared" ref="U12:Z12" si="5">DGET($S$5:$Z$10,U$5,$S$11:$S$12)</f>
        <v>2.7E-2</v>
      </c>
      <c r="V12" s="34">
        <f t="shared" si="5"/>
        <v>0</v>
      </c>
      <c r="W12" s="34">
        <f t="shared" si="5"/>
        <v>0.06</v>
      </c>
      <c r="X12" s="34" t="str">
        <f t="shared" si="5"/>
        <v>Commercial</v>
      </c>
      <c r="Y12" s="34">
        <f t="shared" si="5"/>
        <v>289014</v>
      </c>
      <c r="Z12" s="34">
        <f t="shared" si="5"/>
        <v>556000</v>
      </c>
    </row>
    <row r="13" spans="1:26">
      <c r="A13" s="180">
        <v>9</v>
      </c>
      <c r="B13" s="34" t="s">
        <v>293</v>
      </c>
      <c r="C13" s="34" t="s">
        <v>291</v>
      </c>
      <c r="D13" s="197" t="s">
        <v>294</v>
      </c>
      <c r="E13" s="203"/>
      <c r="F13" s="198" t="s">
        <v>294</v>
      </c>
      <c r="G13" s="199">
        <v>0.56880821985150298</v>
      </c>
      <c r="H13" s="199">
        <v>0.86</v>
      </c>
      <c r="I13" s="199">
        <v>1.004008219851503</v>
      </c>
      <c r="J13" s="199">
        <v>1</v>
      </c>
      <c r="K13" s="190">
        <v>2400</v>
      </c>
      <c r="L13" s="200">
        <v>-2.18368E-2</v>
      </c>
      <c r="M13" s="201">
        <f t="shared" si="0"/>
        <v>-1.0143193600000001E-2</v>
      </c>
      <c r="N13" s="202" t="str">
        <f t="shared" si="1"/>
        <v>ExSchoolElecHt</v>
      </c>
      <c r="O13" s="202" t="str">
        <f t="shared" si="2"/>
        <v>ExSchoolHtPmpHt</v>
      </c>
      <c r="P13" s="202" t="str">
        <f t="shared" si="3"/>
        <v>ExSchoolGasHt</v>
      </c>
      <c r="Q13" s="198" t="str">
        <f t="shared" si="4"/>
        <v>ExSchool</v>
      </c>
      <c r="R13" s="190">
        <v>12</v>
      </c>
    </row>
    <row r="14" spans="1:26">
      <c r="A14" s="180">
        <v>10</v>
      </c>
      <c r="B14" s="34" t="s">
        <v>295</v>
      </c>
      <c r="C14" s="34" t="s">
        <v>296</v>
      </c>
      <c r="D14" s="197" t="s">
        <v>297</v>
      </c>
      <c r="E14" s="203"/>
      <c r="F14" s="198" t="s">
        <v>297</v>
      </c>
      <c r="G14" s="199">
        <v>0.68206321012448889</v>
      </c>
      <c r="H14" s="199">
        <v>0.95499999999999996</v>
      </c>
      <c r="I14" s="199">
        <v>1.1081965434578223</v>
      </c>
      <c r="J14" s="199">
        <v>1</v>
      </c>
      <c r="K14" s="190">
        <v>3000</v>
      </c>
      <c r="L14" s="200">
        <v>-2.1381866666666666E-2</v>
      </c>
      <c r="M14" s="201">
        <f t="shared" si="0"/>
        <v>-9.9318770666666674E-3</v>
      </c>
      <c r="N14" s="202" t="str">
        <f t="shared" si="1"/>
        <v>ExSchoolElecHt</v>
      </c>
      <c r="O14" s="202" t="str">
        <f t="shared" si="2"/>
        <v>ExSchoolHtPmpHt</v>
      </c>
      <c r="P14" s="202" t="str">
        <f t="shared" si="3"/>
        <v>ExSchoolGasHt</v>
      </c>
      <c r="Q14" s="198" t="str">
        <f t="shared" si="4"/>
        <v>ExSchool</v>
      </c>
      <c r="R14" s="190">
        <v>12</v>
      </c>
    </row>
    <row r="15" spans="1:26">
      <c r="A15" s="180">
        <v>11</v>
      </c>
      <c r="B15" s="34" t="s">
        <v>298</v>
      </c>
      <c r="C15" s="34" t="s">
        <v>299</v>
      </c>
      <c r="D15" s="197" t="s">
        <v>300</v>
      </c>
      <c r="F15" s="198" t="s">
        <v>300</v>
      </c>
      <c r="G15" s="199">
        <v>0.61</v>
      </c>
      <c r="H15" s="199">
        <v>0.80500000000000005</v>
      </c>
      <c r="I15" s="199">
        <v>0.96360000000000012</v>
      </c>
      <c r="J15" s="199">
        <v>1</v>
      </c>
      <c r="K15" s="190">
        <v>3500</v>
      </c>
      <c r="L15" s="200">
        <v>-1.7742399999999998E-2</v>
      </c>
      <c r="M15" s="201">
        <f t="shared" si="0"/>
        <v>-8.2413447999999997E-3</v>
      </c>
      <c r="N15" s="202" t="str">
        <f t="shared" si="1"/>
        <v>ExWarehElecHt</v>
      </c>
      <c r="O15" s="202" t="str">
        <f t="shared" si="2"/>
        <v>ExWarehHtPmpHt</v>
      </c>
      <c r="P15" s="202" t="str">
        <f t="shared" si="3"/>
        <v>ExWarehGasHt</v>
      </c>
      <c r="Q15" s="198" t="str">
        <f t="shared" si="4"/>
        <v>ExWareh</v>
      </c>
      <c r="R15" s="190">
        <v>12</v>
      </c>
    </row>
    <row r="16" spans="1:26">
      <c r="A16" s="180">
        <v>12</v>
      </c>
      <c r="B16" s="34" t="s">
        <v>301</v>
      </c>
      <c r="C16" s="34" t="s">
        <v>299</v>
      </c>
      <c r="D16" s="197" t="s">
        <v>302</v>
      </c>
      <c r="E16" s="203" t="str">
        <f>DGET(A4:E12,E4,E1:E2)</f>
        <v>Unconditioned</v>
      </c>
      <c r="F16" s="198" t="s">
        <v>302</v>
      </c>
      <c r="G16" s="199">
        <v>0.85300665369731465</v>
      </c>
      <c r="H16" s="199">
        <v>0.97</v>
      </c>
      <c r="I16" s="199">
        <v>1.0524733203639813</v>
      </c>
      <c r="J16" s="199">
        <v>1</v>
      </c>
      <c r="K16" s="190">
        <v>6500</v>
      </c>
      <c r="L16" s="200">
        <v>-1.0008533333333333E-2</v>
      </c>
      <c r="M16" s="201">
        <f t="shared" si="0"/>
        <v>-4.6489637333333332E-3</v>
      </c>
      <c r="N16" s="202" t="str">
        <f t="shared" si="1"/>
        <v>ExGrocElecHt</v>
      </c>
      <c r="O16" s="202" t="str">
        <f t="shared" si="2"/>
        <v>ExGrocHtPmpHt</v>
      </c>
      <c r="P16" s="202" t="str">
        <f t="shared" si="3"/>
        <v>ExGrocGasHt</v>
      </c>
      <c r="Q16" s="198" t="str">
        <f t="shared" si="4"/>
        <v>ExGroc</v>
      </c>
      <c r="R16" s="190">
        <v>12</v>
      </c>
    </row>
    <row r="17" spans="1:18">
      <c r="A17" s="180">
        <v>13</v>
      </c>
      <c r="B17" s="34" t="s">
        <v>303</v>
      </c>
      <c r="C17" s="34" t="s">
        <v>304</v>
      </c>
      <c r="D17" s="197" t="s">
        <v>305</v>
      </c>
      <c r="E17" s="203"/>
      <c r="F17" s="198" t="s">
        <v>305</v>
      </c>
      <c r="G17" s="199">
        <v>0.69497397374755487</v>
      </c>
      <c r="H17" s="199">
        <v>0.94499999999999995</v>
      </c>
      <c r="I17" s="199">
        <v>1.048573973747555</v>
      </c>
      <c r="J17" s="199">
        <v>1</v>
      </c>
      <c r="K17" s="190">
        <v>6500</v>
      </c>
      <c r="L17" s="200">
        <v>-1.7742399999999998E-2</v>
      </c>
      <c r="M17" s="201">
        <f t="shared" si="0"/>
        <v>-8.2413447999999997E-3</v>
      </c>
      <c r="N17" s="202" t="str">
        <f t="shared" si="1"/>
        <v>ExGrocElecHt</v>
      </c>
      <c r="O17" s="202" t="str">
        <f t="shared" si="2"/>
        <v>ExGrocHtPmpHt</v>
      </c>
      <c r="P17" s="202" t="str">
        <f t="shared" si="3"/>
        <v>ExGrocGasHt</v>
      </c>
      <c r="Q17" s="198" t="str">
        <f t="shared" si="4"/>
        <v>ExGroc</v>
      </c>
      <c r="R17" s="190">
        <v>12</v>
      </c>
    </row>
    <row r="18" spans="1:18">
      <c r="A18" s="180">
        <v>14</v>
      </c>
      <c r="B18" s="34" t="s">
        <v>306</v>
      </c>
      <c r="C18" s="34" t="s">
        <v>307</v>
      </c>
      <c r="D18" s="197" t="s">
        <v>308</v>
      </c>
      <c r="E18" s="203"/>
      <c r="F18" s="198" t="s">
        <v>308</v>
      </c>
      <c r="G18" s="199">
        <v>0.42513248540947907</v>
      </c>
      <c r="H18" s="199">
        <v>0.72499999999999998</v>
      </c>
      <c r="I18" s="199">
        <v>0.96006581874281216</v>
      </c>
      <c r="J18" s="199">
        <v>1</v>
      </c>
      <c r="K18" s="190">
        <v>5000</v>
      </c>
      <c r="L18" s="200">
        <v>-2.6841066666666667E-2</v>
      </c>
      <c r="M18" s="201">
        <f t="shared" si="0"/>
        <v>-1.2467675466666668E-2</v>
      </c>
      <c r="N18" s="202" t="str">
        <f t="shared" si="1"/>
        <v>ExRestElecHt</v>
      </c>
      <c r="O18" s="202" t="str">
        <f t="shared" si="2"/>
        <v>ExRestHtPmpHt</v>
      </c>
      <c r="P18" s="202" t="str">
        <f t="shared" si="3"/>
        <v>ExRestGasHt</v>
      </c>
      <c r="Q18" s="198" t="str">
        <f t="shared" si="4"/>
        <v>ExRest</v>
      </c>
      <c r="R18" s="190">
        <v>12</v>
      </c>
    </row>
    <row r="19" spans="1:18">
      <c r="A19" s="180">
        <v>15</v>
      </c>
      <c r="B19" s="34" t="s">
        <v>309</v>
      </c>
      <c r="C19" s="34" t="s">
        <v>310</v>
      </c>
      <c r="D19" s="197" t="s">
        <v>311</v>
      </c>
      <c r="E19" s="203"/>
      <c r="F19" s="198" t="s">
        <v>311</v>
      </c>
      <c r="G19" s="199">
        <v>0.68527162451627266</v>
      </c>
      <c r="H19" s="199">
        <v>0.9</v>
      </c>
      <c r="I19" s="199">
        <v>1.0479382911829394</v>
      </c>
      <c r="J19" s="199">
        <v>1</v>
      </c>
      <c r="K19" s="190">
        <v>3600</v>
      </c>
      <c r="L19" s="200">
        <v>-1.8197333333333333E-2</v>
      </c>
      <c r="M19" s="201">
        <f t="shared" si="0"/>
        <v>-8.4526613333333334E-3</v>
      </c>
      <c r="N19" s="202" t="str">
        <f t="shared" si="1"/>
        <v>ExHotelElecHt</v>
      </c>
      <c r="O19" s="202" t="str">
        <f t="shared" si="2"/>
        <v>ExHotelHtPmpHt</v>
      </c>
      <c r="P19" s="202" t="str">
        <f t="shared" si="3"/>
        <v>ExHotelGasHt</v>
      </c>
      <c r="Q19" s="198" t="str">
        <f t="shared" si="4"/>
        <v>ExHotel</v>
      </c>
      <c r="R19" s="190">
        <v>12</v>
      </c>
    </row>
    <row r="20" spans="1:18">
      <c r="A20" s="180">
        <v>16</v>
      </c>
      <c r="B20" s="34" t="s">
        <v>312</v>
      </c>
      <c r="C20" s="34" t="s">
        <v>310</v>
      </c>
      <c r="D20" s="197" t="s">
        <v>313</v>
      </c>
      <c r="E20" s="203"/>
      <c r="F20" s="198" t="s">
        <v>313</v>
      </c>
      <c r="G20" s="199">
        <v>0.28912583171216438</v>
      </c>
      <c r="H20" s="199">
        <v>0.65</v>
      </c>
      <c r="I20" s="199">
        <v>0.94192583171216437</v>
      </c>
      <c r="J20" s="199">
        <v>1</v>
      </c>
      <c r="K20" s="190">
        <v>5900</v>
      </c>
      <c r="L20" s="200">
        <v>-3.2755199999999998E-2</v>
      </c>
      <c r="M20" s="201">
        <f t="shared" si="0"/>
        <v>-1.5214790400000001E-2</v>
      </c>
      <c r="N20" s="202" t="str">
        <f t="shared" si="1"/>
        <v>ExHealthElecHt</v>
      </c>
      <c r="O20" s="202" t="str">
        <f t="shared" si="2"/>
        <v>ExHealthHtPmpHt</v>
      </c>
      <c r="P20" s="202" t="str">
        <f t="shared" si="3"/>
        <v>ExHealthGasHt</v>
      </c>
      <c r="Q20" s="198" t="str">
        <f t="shared" si="4"/>
        <v>ExHealth</v>
      </c>
      <c r="R20" s="190">
        <v>12</v>
      </c>
    </row>
    <row r="21" spans="1:18">
      <c r="A21" s="180">
        <v>17</v>
      </c>
      <c r="B21" s="34" t="s">
        <v>314</v>
      </c>
      <c r="C21" s="34" t="s">
        <v>315</v>
      </c>
      <c r="D21" s="197" t="s">
        <v>316</v>
      </c>
      <c r="E21" s="203"/>
      <c r="F21" s="198" t="s">
        <v>316</v>
      </c>
      <c r="G21" s="199">
        <v>0.91873780836733077</v>
      </c>
      <c r="H21" s="199">
        <v>1.02</v>
      </c>
      <c r="I21" s="199">
        <v>1.0819378083673306</v>
      </c>
      <c r="J21" s="199">
        <v>1</v>
      </c>
      <c r="K21" s="190">
        <v>3600</v>
      </c>
      <c r="L21" s="200">
        <v>-8.1887999999999996E-3</v>
      </c>
      <c r="M21" s="201">
        <f t="shared" si="0"/>
        <v>-3.8036976000000002E-3</v>
      </c>
      <c r="N21" s="202" t="str">
        <f t="shared" si="1"/>
        <v>ExHealthElecHt</v>
      </c>
      <c r="O21" s="202" t="str">
        <f t="shared" si="2"/>
        <v>ExHealthHtPmpHt</v>
      </c>
      <c r="P21" s="202" t="str">
        <f t="shared" si="3"/>
        <v>ExHealthGasHt</v>
      </c>
      <c r="Q21" s="198" t="str">
        <f t="shared" si="4"/>
        <v>ExHealth</v>
      </c>
      <c r="R21" s="190">
        <v>12</v>
      </c>
    </row>
    <row r="22" spans="1:18">
      <c r="A22" s="180">
        <v>18</v>
      </c>
      <c r="C22" s="34" t="s">
        <v>317</v>
      </c>
      <c r="D22" s="197" t="s">
        <v>318</v>
      </c>
      <c r="E22" s="203"/>
      <c r="F22" s="198" t="s">
        <v>318</v>
      </c>
      <c r="G22" s="199">
        <v>0.86680489300284569</v>
      </c>
      <c r="H22" s="199">
        <v>1.02</v>
      </c>
      <c r="I22" s="199">
        <v>1.0300048930028456</v>
      </c>
      <c r="J22" s="199">
        <v>1</v>
      </c>
      <c r="K22" s="190">
        <v>4000</v>
      </c>
      <c r="L22" s="200">
        <v>-8.1887999999999996E-3</v>
      </c>
      <c r="M22" s="201">
        <f t="shared" si="0"/>
        <v>-3.8036976000000002E-3</v>
      </c>
      <c r="N22" s="198" t="s">
        <v>319</v>
      </c>
      <c r="O22" s="198" t="s">
        <v>319</v>
      </c>
      <c r="P22" s="198" t="s">
        <v>319</v>
      </c>
      <c r="Q22" s="198" t="str">
        <f t="shared" si="4"/>
        <v>ExCommLight</v>
      </c>
      <c r="R22" s="190">
        <v>12</v>
      </c>
    </row>
    <row r="23" spans="1:18">
      <c r="A23" s="180">
        <v>19</v>
      </c>
      <c r="C23" s="34" t="s">
        <v>317</v>
      </c>
      <c r="D23" s="33" t="s">
        <v>218</v>
      </c>
      <c r="F23" s="198" t="s">
        <v>218</v>
      </c>
      <c r="G23" s="199">
        <v>0.61</v>
      </c>
      <c r="H23" s="199">
        <v>0.80500000000000005</v>
      </c>
      <c r="I23" s="199">
        <v>0.96360000000000012</v>
      </c>
      <c r="J23" s="199">
        <v>1</v>
      </c>
      <c r="K23" s="190">
        <v>2250</v>
      </c>
      <c r="L23" s="200">
        <v>-1.7742399999999998E-2</v>
      </c>
      <c r="M23" s="201">
        <f t="shared" si="0"/>
        <v>-8.2413447999999997E-3</v>
      </c>
      <c r="N23" s="198" t="s">
        <v>320</v>
      </c>
      <c r="O23" s="198" t="s">
        <v>320</v>
      </c>
      <c r="P23" s="198" t="s">
        <v>320</v>
      </c>
      <c r="Q23" s="198" t="s">
        <v>320</v>
      </c>
      <c r="R23" s="190">
        <v>12</v>
      </c>
    </row>
    <row r="24" spans="1:18">
      <c r="A24" s="180">
        <v>20</v>
      </c>
      <c r="C24" s="34" t="s">
        <v>317</v>
      </c>
      <c r="D24" s="33" t="s">
        <v>321</v>
      </c>
      <c r="F24" s="198" t="s">
        <v>321</v>
      </c>
      <c r="G24" s="199">
        <v>0.61</v>
      </c>
      <c r="H24" s="199">
        <v>0.80500000000000005</v>
      </c>
      <c r="I24" s="199">
        <v>0.96360000000000012</v>
      </c>
      <c r="J24" s="199">
        <v>1</v>
      </c>
      <c r="K24" s="190">
        <v>8400</v>
      </c>
      <c r="L24" s="200">
        <v>-1.7742399999999998E-2</v>
      </c>
      <c r="M24" s="201">
        <f t="shared" si="0"/>
        <v>-8.2413447999999997E-3</v>
      </c>
      <c r="N24" s="198" t="s">
        <v>322</v>
      </c>
      <c r="O24" s="198" t="s">
        <v>322</v>
      </c>
      <c r="P24" s="198" t="s">
        <v>322</v>
      </c>
      <c r="Q24" s="198" t="s">
        <v>322</v>
      </c>
      <c r="R24" s="190">
        <v>12</v>
      </c>
    </row>
    <row r="25" spans="1:18">
      <c r="A25" s="180">
        <v>21</v>
      </c>
      <c r="C25" s="34" t="s">
        <v>323</v>
      </c>
      <c r="D25" s="33" t="s">
        <v>324</v>
      </c>
      <c r="F25" s="198" t="s">
        <v>324</v>
      </c>
      <c r="G25" s="199">
        <v>0.61</v>
      </c>
      <c r="H25" s="199">
        <v>0.80500000000000005</v>
      </c>
      <c r="I25" s="199">
        <v>0.96360000000000012</v>
      </c>
      <c r="J25" s="199">
        <v>1</v>
      </c>
      <c r="K25" s="190">
        <v>4500</v>
      </c>
      <c r="L25" s="200">
        <v>-1.7742399999999998E-2</v>
      </c>
      <c r="M25" s="201">
        <f t="shared" si="0"/>
        <v>-8.2413447999999997E-3</v>
      </c>
      <c r="N25" s="198" t="s">
        <v>325</v>
      </c>
      <c r="O25" s="198" t="s">
        <v>325</v>
      </c>
      <c r="P25" s="198" t="s">
        <v>325</v>
      </c>
      <c r="Q25" s="198" t="s">
        <v>325</v>
      </c>
      <c r="R25" s="190">
        <v>12</v>
      </c>
    </row>
    <row r="26" spans="1:18">
      <c r="A26" s="180">
        <v>22</v>
      </c>
      <c r="C26" s="34" t="s">
        <v>326</v>
      </c>
      <c r="D26" s="33" t="s">
        <v>327</v>
      </c>
      <c r="F26" s="198" t="s">
        <v>327</v>
      </c>
      <c r="G26" s="199">
        <v>1</v>
      </c>
      <c r="H26" s="199">
        <v>1</v>
      </c>
      <c r="I26" s="199">
        <v>1</v>
      </c>
      <c r="J26" s="199">
        <v>1</v>
      </c>
      <c r="K26" s="205">
        <v>8760</v>
      </c>
      <c r="L26" s="206">
        <v>0</v>
      </c>
      <c r="M26" s="207">
        <f t="shared" si="0"/>
        <v>0</v>
      </c>
      <c r="N26" s="198" t="str">
        <f t="shared" ref="N26:Q27" si="6">$C25</f>
        <v>Flat</v>
      </c>
      <c r="O26" s="198" t="str">
        <f t="shared" si="6"/>
        <v>Flat</v>
      </c>
      <c r="P26" s="198" t="str">
        <f t="shared" si="6"/>
        <v>Flat</v>
      </c>
      <c r="Q26" s="198" t="str">
        <f t="shared" si="6"/>
        <v>Flat</v>
      </c>
      <c r="R26" s="190">
        <v>12</v>
      </c>
    </row>
    <row r="27" spans="1:18">
      <c r="A27" s="180">
        <v>23</v>
      </c>
      <c r="D27" s="33" t="s">
        <v>328</v>
      </c>
      <c r="F27" s="198" t="s">
        <v>328</v>
      </c>
      <c r="G27" s="199">
        <v>1</v>
      </c>
      <c r="H27" s="199">
        <v>1</v>
      </c>
      <c r="I27" s="199">
        <v>1</v>
      </c>
      <c r="J27" s="199">
        <v>1</v>
      </c>
      <c r="K27" s="205">
        <v>5400</v>
      </c>
      <c r="L27" s="206">
        <v>0</v>
      </c>
      <c r="M27" s="207">
        <f t="shared" si="0"/>
        <v>0</v>
      </c>
      <c r="N27" s="198" t="str">
        <f t="shared" si="6"/>
        <v>StreetLight</v>
      </c>
      <c r="O27" s="198" t="str">
        <f t="shared" si="6"/>
        <v>StreetLight</v>
      </c>
      <c r="P27" s="198" t="str">
        <f t="shared" si="6"/>
        <v>StreetLight</v>
      </c>
      <c r="Q27" s="198" t="str">
        <f t="shared" si="6"/>
        <v>StreetLight</v>
      </c>
      <c r="R27" s="190">
        <v>12</v>
      </c>
    </row>
    <row r="28" spans="1:18" ht="15">
      <c r="A28" s="180">
        <v>24</v>
      </c>
      <c r="D28" s="208"/>
    </row>
    <row r="29" spans="1:18" ht="15">
      <c r="A29" s="180">
        <v>25</v>
      </c>
      <c r="D29" s="208" t="str">
        <f>DGET(A4:D28,D4,D1:D2)</f>
        <v xml:space="preserve"> Lodging</v>
      </c>
    </row>
    <row r="30" spans="1:18" ht="15">
      <c r="A30" s="180">
        <v>26</v>
      </c>
      <c r="D30" s="208"/>
    </row>
    <row r="31" spans="1:18" ht="15">
      <c r="A31" s="180">
        <v>27</v>
      </c>
      <c r="D31" s="208"/>
    </row>
    <row r="32" spans="1:18">
      <c r="A32" s="180">
        <v>28</v>
      </c>
      <c r="D32" s="33"/>
    </row>
    <row r="33" spans="1:4">
      <c r="A33" s="180">
        <v>29</v>
      </c>
      <c r="D33" s="33"/>
    </row>
    <row r="34" spans="1:4">
      <c r="A34" s="180">
        <v>30</v>
      </c>
      <c r="D34" s="209"/>
    </row>
    <row r="35" spans="1:4">
      <c r="D35" s="209"/>
    </row>
    <row r="37" spans="1:4">
      <c r="A37" s="33" t="s">
        <v>66</v>
      </c>
      <c r="D37" s="190" t="s">
        <v>254</v>
      </c>
    </row>
    <row r="38" spans="1:4">
      <c r="A38" s="34">
        <f>Btype</f>
        <v>15</v>
      </c>
      <c r="D38" s="34" t="str">
        <f>DGET(A4:F34,D4,A37:A38)</f>
        <v xml:space="preserve"> Lodging</v>
      </c>
    </row>
  </sheetData>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CustMeas</vt:lpstr>
      <vt:lpstr>Evap Fan VFDs</vt:lpstr>
      <vt:lpstr>Application</vt:lpstr>
      <vt:lpstr>Cascade Findings</vt:lpstr>
      <vt:lpstr>Condenser Fan Savings</vt:lpstr>
      <vt:lpstr>Data</vt:lpstr>
      <vt:lpstr>Metering</vt:lpstr>
      <vt:lpstr>LSYield</vt:lpstr>
      <vt:lpstr>LSYield!Btype</vt:lpstr>
      <vt:lpstr>LSYield!BTypeNames</vt:lpstr>
      <vt:lpstr>LSYield!LSYield</vt:lpstr>
      <vt:lpstr>'Cascade Findings'!Print_Area</vt:lpstr>
      <vt:lpstr>CustMeas!Print_Area</vt:lpstr>
      <vt:lpstr>'Evap Fan VFDs'!Print_Area</vt:lpstr>
      <vt:lpstr>LSYield!Rate_Sch</vt:lpstr>
      <vt:lpstr>LSYield!SpaceHeat</vt:lpstr>
      <vt:lpstr>LSYield!SpaceHeatNames</vt:lpstr>
    </vt:vector>
  </TitlesOfParts>
  <Company>Chelan County PUD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James A.</dc:creator>
  <cp:lastModifiedBy>jamesa</cp:lastModifiedBy>
  <cp:lastPrinted>2013-02-19T19:09:16Z</cp:lastPrinted>
  <dcterms:created xsi:type="dcterms:W3CDTF">2010-02-17T21:41:38Z</dcterms:created>
  <dcterms:modified xsi:type="dcterms:W3CDTF">2013-02-27T21:55:23Z</dcterms:modified>
</cp:coreProperties>
</file>