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35" yWindow="-15" windowWidth="13785" windowHeight="12060" tabRatio="515" activeTab="3"/>
  </bookViews>
  <sheets>
    <sheet name="CustMeas" sheetId="1" r:id="rId1"/>
    <sheet name="COTR" sheetId="4" state="hidden" r:id="rId2"/>
    <sheet name="ProjectBC" sheetId="8" state="hidden" r:id="rId3"/>
    <sheet name="VFD Application" sheetId="2" r:id="rId4"/>
    <sheet name="VFD Calculations" sheetId="25" r:id="rId5"/>
    <sheet name="Box Plot" sheetId="23" r:id="rId6"/>
    <sheet name="Billing History" sheetId="21" r:id="rId7"/>
    <sheet name="Pivot Tables" sheetId="22" r:id="rId8"/>
    <sheet name="LSYield" sheetId="9" state="hidden" r:id="rId9"/>
    <sheet name="ShapePV" sheetId="10" state="hidden" r:id="rId10"/>
    <sheet name="BugList" sheetId="11" state="hidden" r:id="rId11"/>
    <sheet name="LSYield2" sheetId="12" state="hidden" r:id="rId12"/>
    <sheet name="uploaddata" sheetId="15" state="hidden" r:id="rId13"/>
    <sheet name="Deemed Measures" sheetId="16" state="hidden" r:id="rId14"/>
    <sheet name="Sheet1" sheetId="28" r:id="rId15"/>
  </sheets>
  <externalReferences>
    <externalReference r:id="rId16"/>
    <externalReference r:id="rId17"/>
    <externalReference r:id="rId18"/>
  </externalReferences>
  <definedNames>
    <definedName name="_5th_Plan_Building_Type_Names">'[1]BType Names'!$A$2:$B$19</definedName>
    <definedName name="All_CoolZones" localSheetId="4">#REF!</definedName>
    <definedName name="All_CoolZones">#REF!</definedName>
    <definedName name="All_DelMech">'[2]Res-tax'!$G$5:$G$19</definedName>
    <definedName name="All_EffLevel">'[2]Res-tax'!$K$5:$K$23</definedName>
    <definedName name="All_FuelType">'[2]Res-tax'!$AH$5:$AH$11</definedName>
    <definedName name="All_HeatZones" localSheetId="4">#REF!</definedName>
    <definedName name="All_HeatZones">#REF!</definedName>
    <definedName name="All_Program">'[2]Res-tax'!$AN$5:$AN$12</definedName>
    <definedName name="All_UnitType">'[2]Res-tax'!$I$5:$I$30</definedName>
    <definedName name="AverageLife" localSheetId="4">#REF!</definedName>
    <definedName name="AverageLife">#REF!</definedName>
    <definedName name="BC_Ratio">ProjectBC!$C$14</definedName>
    <definedName name="BPA_Reimbursement" localSheetId="4">#REF!</definedName>
    <definedName name="BPA_Reimbursement">#REF!</definedName>
    <definedName name="Btype" localSheetId="11">LSYield2!$D$2</definedName>
    <definedName name="Btype">LSYield!$D$2</definedName>
    <definedName name="BTypeNames" localSheetId="11">LSYield2!$D$5:$D$27</definedName>
    <definedName name="BTypeNames">LSYield!$D$5:$D$27</definedName>
    <definedName name="Cost" localSheetId="4">#REF!</definedName>
    <definedName name="Cost">#REF!</definedName>
    <definedName name="Cost_Data_03">'[3]Cost Data 03'!$B$3:$M$110</definedName>
    <definedName name="Credit_Data" localSheetId="4">#REF!</definedName>
    <definedName name="Credit_Data">#REF!</definedName>
    <definedName name="Data" localSheetId="4">#REF!</definedName>
    <definedName name="Data">#REF!</definedName>
    <definedName name="Deemed">'Deemed Measures'!#REF!</definedName>
    <definedName name="Deemed_Measures">'Deemed Measures'!#REF!</definedName>
    <definedName name="DiscountRate">ProjectBC!$G$7</definedName>
    <definedName name="Existing" localSheetId="4">#REF!</definedName>
    <definedName name="Existing">#REF!</definedName>
    <definedName name="Existing_Description" localSheetId="4">#REF!</definedName>
    <definedName name="Existing_Description">#REF!</definedName>
    <definedName name="Family" localSheetId="4">#REF!</definedName>
    <definedName name="Family">#REF!</definedName>
    <definedName name="ID" localSheetId="4">#REF!</definedName>
    <definedName name="ID">#REF!</definedName>
    <definedName name="Labor" localSheetId="4">#REF!</definedName>
    <definedName name="Labor">#REF!</definedName>
    <definedName name="Lighting_Control" localSheetId="4">#REF!</definedName>
    <definedName name="Lighting_Control">#REF!</definedName>
    <definedName name="Lighting_Controls" localSheetId="4">#REF!</definedName>
    <definedName name="Lighting_Controls">#REF!</definedName>
    <definedName name="LSYield" localSheetId="11">LSYield2!$F$5:$Z$30</definedName>
    <definedName name="LSYield">LSYield!$F$5:$Y$30</definedName>
    <definedName name="MeasureLife" localSheetId="4">#REF!</definedName>
    <definedName name="MeasureLife">#REF!</definedName>
    <definedName name="NPV_kWh">ShapePV!$C$4:$D$56</definedName>
    <definedName name="Number" localSheetId="4">#REF!</definedName>
    <definedName name="Number">#REF!</definedName>
    <definedName name="OandM" localSheetId="4">#REF!</definedName>
    <definedName name="OandM">#REF!</definedName>
    <definedName name="Occ_Sensor" localSheetId="4">#REF!</definedName>
    <definedName name="Occ_Sensor">#REF!</definedName>
    <definedName name="Occupancy_Sensors" localSheetId="4">#REF!</definedName>
    <definedName name="Occupancy_Sensors">#REF!</definedName>
    <definedName name="OperatingHours" localSheetId="4">#REF!</definedName>
    <definedName name="OperatingHours">#REF!</definedName>
    <definedName name="_xlnm.Print_Area" localSheetId="0">CustMeas!$A$2:$E$38</definedName>
    <definedName name="_xlnm.Print_Area" localSheetId="3">'VFD Application'!$A$1:$O$94</definedName>
    <definedName name="_xlnm.Print_Area" localSheetId="4">'VFD Calculations'!$A$1:$I$85</definedName>
    <definedName name="_xlnm.Print_Titles" localSheetId="4">'VFD Calculations'!$1:$1</definedName>
    <definedName name="Project_Cost" localSheetId="4">#REF!</definedName>
    <definedName name="Project_Cost">#REF!</definedName>
    <definedName name="Project_Types" localSheetId="4">#REF!</definedName>
    <definedName name="Project_Types">#REF!</definedName>
    <definedName name="Proposed" localSheetId="4">#REF!</definedName>
    <definedName name="Proposed">#REF!</definedName>
    <definedName name="Proposed_Description" localSheetId="4">#REF!</definedName>
    <definedName name="Proposed_Description">#REF!</definedName>
    <definedName name="PV" localSheetId="4">#REF!</definedName>
    <definedName name="PV">#REF!</definedName>
    <definedName name="PV_Energy_Cost" localSheetId="4">#REF!</definedName>
    <definedName name="PV_Energy_Cost">#REF!</definedName>
    <definedName name="PV_Energy_Saved" localSheetId="4">#REF!</definedName>
    <definedName name="PV_Energy_Saved">#REF!</definedName>
    <definedName name="PV_Gas_OM" localSheetId="4">#REF!</definedName>
    <definedName name="PV_Gas_OM">#REF!</definedName>
    <definedName name="PV_LifeCycle_Cost" localSheetId="4">#REF!</definedName>
    <definedName name="PV_LifeCycle_Cost">#REF!</definedName>
    <definedName name="PV_OandM" localSheetId="4">#REF!</definedName>
    <definedName name="PV_OandM">#REF!</definedName>
    <definedName name="PV_Other_OM" localSheetId="4">#REF!</definedName>
    <definedName name="PV_Other_OM">#REF!</definedName>
    <definedName name="PV_ReLamp_Cost" localSheetId="4">#REF!</definedName>
    <definedName name="PV_ReLamp_Cost">#REF!</definedName>
    <definedName name="Rate_Sch">LSYield!$T$6:$T$11</definedName>
    <definedName name="Replacement_deemed">'Deemed Measures'!#REF!</definedName>
    <definedName name="Res_Cat">'[2]Res-tax'!$C$5:$C$23</definedName>
    <definedName name="Res_EffCase1">'[2]Res-tax'!$E$5:$E$32</definedName>
    <definedName name="Res_EffCase2">'[2]Res-tax'!$F$5:$F$52</definedName>
    <definedName name="Res_EndUse">'[2]Res-tax'!$B$5:$B$10</definedName>
    <definedName name="Res_Techs">'[2]Res-tax'!$D$5:$D$39</definedName>
    <definedName name="ResCom_Location">'[2]Res-tax'!$AI$5:$AI$23</definedName>
    <definedName name="Rewind_Deemed">'Deemed Measures'!#REF!</definedName>
    <definedName name="Savings_Busbar" localSheetId="4">#REF!</definedName>
    <definedName name="Savings_Busbar">#REF!</definedName>
    <definedName name="Simple_Payback" localSheetId="4">#REF!</definedName>
    <definedName name="Simple_Payback">#REF!</definedName>
    <definedName name="solver_adj" localSheetId="4" hidden="1">'VFD Calculations'!#REF!</definedName>
    <definedName name="solver_cvg" localSheetId="4" hidden="1">0.0001</definedName>
    <definedName name="solver_drv" localSheetId="4" hidden="1">1</definedName>
    <definedName name="solver_est" localSheetId="4" hidden="1">1</definedName>
    <definedName name="solver_itr" localSheetId="4" hidden="1">100</definedName>
    <definedName name="solver_lhs1" localSheetId="4" hidden="1">'VFD Calculations'!#REF!</definedName>
    <definedName name="solver_lhs2" localSheetId="4" hidden="1">'VFD Calculations'!#REF!</definedName>
    <definedName name="solver_lhs3" localSheetId="4" hidden="1">'VFD Calculations'!#REF!</definedName>
    <definedName name="solver_lhs4" localSheetId="4" hidden="1">'VFD Calculations'!#REF!</definedName>
    <definedName name="solver_lin" localSheetId="4" hidden="1">2</definedName>
    <definedName name="solver_neg" localSheetId="4" hidden="1">2</definedName>
    <definedName name="solver_num" localSheetId="4" hidden="1">1</definedName>
    <definedName name="solver_nwt" localSheetId="4" hidden="1">1</definedName>
    <definedName name="solver_opt" localSheetId="4" hidden="1">'VFD Calculations'!#REF!</definedName>
    <definedName name="solver_pre" localSheetId="4" hidden="1">0.000001</definedName>
    <definedName name="solver_rel1" localSheetId="4" hidden="1">3</definedName>
    <definedName name="solver_rel2" localSheetId="4" hidden="1">3</definedName>
    <definedName name="solver_rel3" localSheetId="4" hidden="1">3</definedName>
    <definedName name="solver_rel4" localSheetId="4" hidden="1">3</definedName>
    <definedName name="solver_rhs1" localSheetId="4" hidden="1">0</definedName>
    <definedName name="solver_rhs2" localSheetId="4" hidden="1">0</definedName>
    <definedName name="solver_rhs3" localSheetId="4" hidden="1">0</definedName>
    <definedName name="solver_rhs4" localSheetId="4" hidden="1">0</definedName>
    <definedName name="solver_scl" localSheetId="4" hidden="1">2</definedName>
    <definedName name="solver_sho" localSheetId="4" hidden="1">2</definedName>
    <definedName name="solver_tim" localSheetId="4" hidden="1">100</definedName>
    <definedName name="solver_tol" localSheetId="4" hidden="1">0.05</definedName>
    <definedName name="solver_typ" localSheetId="4" hidden="1">3</definedName>
    <definedName name="solver_val" localSheetId="4" hidden="1">0</definedName>
    <definedName name="SpaceHeat" localSheetId="11">LSYield2!$E$2</definedName>
    <definedName name="SpaceHeat">LSYield!$E$2</definedName>
    <definedName name="SpaceHeatNames" localSheetId="11">LSYield2!$E$5:$E$9</definedName>
    <definedName name="SpaceHeatNames">LSYield!$E$5:$E$12</definedName>
    <definedName name="Top" localSheetId="4">#REF!</definedName>
    <definedName name="Top">#REF!</definedName>
    <definedName name="TRC_Lookup">ShapePV!$E$4:$S$101</definedName>
    <definedName name="VFD_Deemed">'Deemed Measures'!#REF!</definedName>
    <definedName name="VFD_Savings" localSheetId="4">#REF!</definedName>
    <definedName name="VFD_Savings">#REF!</definedName>
  </definedNames>
  <calcPr calcId="125725"/>
  <pivotCaches>
    <pivotCache cacheId="0" r:id="rId19"/>
  </pivotCaches>
</workbook>
</file>

<file path=xl/calcChain.xml><?xml version="1.0" encoding="utf-8"?>
<calcChain xmlns="http://schemas.openxmlformats.org/spreadsheetml/2006/main">
  <c r="E50" i="1"/>
  <c r="K37" i="25"/>
  <c r="G16"/>
  <c r="G15"/>
  <c r="G14"/>
  <c r="J15" a="1"/>
  <c r="L15" s="1"/>
  <c r="J15"/>
  <c r="K15"/>
  <c r="U6" i="22"/>
  <c r="U7"/>
  <c r="U8"/>
  <c r="U9"/>
  <c r="U10"/>
  <c r="U11"/>
  <c r="U5"/>
  <c r="T6"/>
  <c r="T7"/>
  <c r="T8"/>
  <c r="T9"/>
  <c r="T10"/>
  <c r="T11"/>
  <c r="T5"/>
  <c r="S6"/>
  <c r="S7"/>
  <c r="S8"/>
  <c r="S9"/>
  <c r="S10"/>
  <c r="S11"/>
  <c r="S5"/>
  <c r="Q6"/>
  <c r="Q7"/>
  <c r="Q8"/>
  <c r="Q9"/>
  <c r="Q10"/>
  <c r="Q11"/>
  <c r="Q5"/>
  <c r="R6"/>
  <c r="R7"/>
  <c r="R8"/>
  <c r="R9"/>
  <c r="R10"/>
  <c r="R11"/>
  <c r="R5"/>
  <c r="V6"/>
  <c r="V7"/>
  <c r="V8"/>
  <c r="V9"/>
  <c r="V10"/>
  <c r="V11"/>
  <c r="V5"/>
  <c r="D3" i="28"/>
  <c r="E3"/>
  <c r="F3"/>
  <c r="G3"/>
  <c r="H3"/>
  <c r="I3"/>
  <c r="J3"/>
  <c r="K3"/>
  <c r="L3"/>
  <c r="C3"/>
  <c r="J29" i="25" l="1"/>
  <c r="J30"/>
  <c r="J31" s="1"/>
  <c r="J32" s="1"/>
  <c r="J33" s="1"/>
  <c r="J34" s="1"/>
  <c r="J35" s="1"/>
  <c r="J36" s="1"/>
  <c r="J37" s="1"/>
  <c r="J28"/>
  <c r="D14"/>
  <c r="N30"/>
  <c r="N29"/>
  <c r="N28"/>
  <c r="N27"/>
  <c r="A44"/>
  <c r="O20" i="2"/>
  <c r="R18" i="22" l="1"/>
  <c r="B5" i="25"/>
  <c r="B22" s="1"/>
  <c r="A55"/>
  <c r="A54"/>
  <c r="A53"/>
  <c r="A52"/>
  <c r="A51"/>
  <c r="A50"/>
  <c r="A49"/>
  <c r="A48"/>
  <c r="A47"/>
  <c r="A46"/>
  <c r="A45"/>
  <c r="B46"/>
  <c r="B47" s="1"/>
  <c r="B48" s="1"/>
  <c r="B49" s="1"/>
  <c r="B50" s="1"/>
  <c r="B51" s="1"/>
  <c r="B52" s="1"/>
  <c r="B53" s="1"/>
  <c r="B54" s="1"/>
  <c r="B55" s="1"/>
  <c r="O42" i="21"/>
  <c r="O43"/>
  <c r="O44"/>
  <c r="O45"/>
  <c r="O46"/>
  <c r="O47"/>
  <c r="O48"/>
  <c r="O49"/>
  <c r="O50"/>
  <c r="O51"/>
  <c r="O52"/>
  <c r="O53"/>
  <c r="D43" i="25"/>
  <c r="E43"/>
  <c r="A56" l="1"/>
  <c r="C22"/>
  <c r="C25"/>
  <c r="B25"/>
  <c r="C24"/>
  <c r="B24"/>
  <c r="C23"/>
  <c r="B23"/>
  <c r="A23"/>
  <c r="A24"/>
  <c r="A25"/>
  <c r="A22"/>
  <c r="D15"/>
  <c r="D16"/>
  <c r="D17"/>
  <c r="T23" i="2" l="1"/>
  <c r="D83" i="25" s="1"/>
  <c r="M25" i="2"/>
  <c r="T29" i="22" l="1"/>
  <c r="C55" i="25"/>
  <c r="C45"/>
  <c r="B9"/>
  <c r="D22" s="1"/>
  <c r="B7"/>
  <c r="B6"/>
  <c r="O25" i="2"/>
  <c r="D30" i="1" l="1"/>
  <c r="R16" i="22"/>
  <c r="E23" i="25"/>
  <c r="E24"/>
  <c r="B8"/>
  <c r="E25" l="1"/>
  <c r="D25"/>
  <c r="D23"/>
  <c r="D24"/>
  <c r="E22"/>
  <c r="M24" i="2"/>
  <c r="N23" s="1"/>
  <c r="T20"/>
  <c r="AB33"/>
  <c r="AB34" s="1"/>
  <c r="AB35" s="1"/>
  <c r="AC37" s="1"/>
  <c r="AB24"/>
  <c r="AB25" s="1"/>
  <c r="AB26" s="1"/>
  <c r="AC28" s="1"/>
  <c r="AB15"/>
  <c r="AB16" s="1"/>
  <c r="AB17" s="1"/>
  <c r="AB4"/>
  <c r="AB5" s="1"/>
  <c r="U8"/>
  <c r="Q8"/>
  <c r="U4"/>
  <c r="Q4"/>
  <c r="U20" l="1"/>
  <c r="E80" i="25" s="1"/>
  <c r="D80"/>
  <c r="AB6" i="2"/>
  <c r="AC10" s="1"/>
  <c r="AC19"/>
  <c r="I1" i="22"/>
  <c r="D1"/>
  <c r="C47" i="25" l="1"/>
  <c r="C46"/>
  <c r="C48" l="1"/>
  <c r="C49"/>
  <c r="C50" l="1"/>
  <c r="C51" l="1"/>
  <c r="W4" i="22"/>
  <c r="P35"/>
  <c r="P34"/>
  <c r="P33"/>
  <c r="P32"/>
  <c r="P31"/>
  <c r="P30"/>
  <c r="P29"/>
  <c r="W9"/>
  <c r="W7"/>
  <c r="W10"/>
  <c r="W6"/>
  <c r="W8"/>
  <c r="W11"/>
  <c r="P37" l="1"/>
  <c r="R15" s="1"/>
  <c r="C52" i="25"/>
  <c r="W5" i="22"/>
  <c r="T30" l="1"/>
  <c r="X6" s="1"/>
  <c r="C53" i="25"/>
  <c r="M4" i="21"/>
  <c r="N4"/>
  <c r="O4"/>
  <c r="M5"/>
  <c r="N5"/>
  <c r="O5"/>
  <c r="M6"/>
  <c r="N6"/>
  <c r="O6"/>
  <c r="M7"/>
  <c r="N7"/>
  <c r="O7"/>
  <c r="M8"/>
  <c r="N8"/>
  <c r="O8"/>
  <c r="M9"/>
  <c r="N9"/>
  <c r="O9"/>
  <c r="M10"/>
  <c r="N10"/>
  <c r="O10"/>
  <c r="M11"/>
  <c r="N11"/>
  <c r="O11"/>
  <c r="M12"/>
  <c r="N12"/>
  <c r="O12"/>
  <c r="M13"/>
  <c r="N13"/>
  <c r="O13"/>
  <c r="M14"/>
  <c r="N14"/>
  <c r="O14"/>
  <c r="M15"/>
  <c r="N15"/>
  <c r="O15"/>
  <c r="M16"/>
  <c r="N16"/>
  <c r="O16"/>
  <c r="M17"/>
  <c r="N17"/>
  <c r="O17"/>
  <c r="M18"/>
  <c r="N18"/>
  <c r="O18"/>
  <c r="M19"/>
  <c r="N19"/>
  <c r="O19"/>
  <c r="M20"/>
  <c r="N20"/>
  <c r="O20"/>
  <c r="M21"/>
  <c r="N21"/>
  <c r="O21"/>
  <c r="M22"/>
  <c r="N22"/>
  <c r="O22"/>
  <c r="M23"/>
  <c r="N23"/>
  <c r="O23"/>
  <c r="M24"/>
  <c r="N24"/>
  <c r="O24"/>
  <c r="M25"/>
  <c r="N25"/>
  <c r="O25"/>
  <c r="M26"/>
  <c r="N26"/>
  <c r="O26"/>
  <c r="M27"/>
  <c r="N27"/>
  <c r="O27"/>
  <c r="M28"/>
  <c r="N28"/>
  <c r="O28"/>
  <c r="M29"/>
  <c r="N29"/>
  <c r="O29"/>
  <c r="M30"/>
  <c r="N30"/>
  <c r="O30"/>
  <c r="M31"/>
  <c r="N31"/>
  <c r="O31"/>
  <c r="M32"/>
  <c r="N32"/>
  <c r="O32"/>
  <c r="M33"/>
  <c r="N33"/>
  <c r="O33"/>
  <c r="M34"/>
  <c r="N34"/>
  <c r="O34"/>
  <c r="M35"/>
  <c r="N35"/>
  <c r="O35"/>
  <c r="M36"/>
  <c r="N36"/>
  <c r="O36"/>
  <c r="M37"/>
  <c r="N37"/>
  <c r="O37"/>
  <c r="M38"/>
  <c r="N38"/>
  <c r="O38"/>
  <c r="M39"/>
  <c r="N39"/>
  <c r="O39"/>
  <c r="M40"/>
  <c r="N40"/>
  <c r="O40"/>
  <c r="M41"/>
  <c r="N41"/>
  <c r="O41"/>
  <c r="M42"/>
  <c r="N42"/>
  <c r="M43"/>
  <c r="N43"/>
  <c r="M44"/>
  <c r="N44"/>
  <c r="M45"/>
  <c r="N45"/>
  <c r="M46"/>
  <c r="N46"/>
  <c r="M47"/>
  <c r="N47"/>
  <c r="M48"/>
  <c r="N48"/>
  <c r="M49"/>
  <c r="N49"/>
  <c r="M50"/>
  <c r="N50"/>
  <c r="M51"/>
  <c r="N51"/>
  <c r="M52"/>
  <c r="N52"/>
  <c r="M53"/>
  <c r="N53"/>
  <c r="O3"/>
  <c r="N3"/>
  <c r="M3"/>
  <c r="N26" i="2"/>
  <c r="M26"/>
  <c r="L26"/>
  <c r="I13"/>
  <c r="A13"/>
  <c r="L9"/>
  <c r="A9"/>
  <c r="L7"/>
  <c r="A7"/>
  <c r="L5"/>
  <c r="A5"/>
  <c r="N3"/>
  <c r="L3"/>
  <c r="A3"/>
  <c r="D33" i="1"/>
  <c r="D34" s="1"/>
  <c r="E20"/>
  <c r="W13" i="9"/>
  <c r="X13"/>
  <c r="Y13"/>
  <c r="Z13"/>
  <c r="U13"/>
  <c r="V13"/>
  <c r="T13"/>
  <c r="X11" i="22" l="1"/>
  <c r="X10"/>
  <c r="X9"/>
  <c r="X8"/>
  <c r="X7"/>
  <c r="X5"/>
  <c r="C54" i="25"/>
  <c r="E16" i="1"/>
  <c r="A11" i="2" s="1"/>
  <c r="E22" i="1" l="1"/>
  <c r="N45" i="2" s="1"/>
  <c r="E55" i="1"/>
  <c r="E40"/>
  <c r="E4"/>
  <c r="B2" i="4"/>
  <c r="B3"/>
  <c r="B4"/>
  <c r="B5"/>
  <c r="B6"/>
  <c r="B7"/>
  <c r="E35" i="1"/>
  <c r="E56"/>
  <c r="M6" i="9"/>
  <c r="N6"/>
  <c r="O6"/>
  <c r="P6"/>
  <c r="Q6"/>
  <c r="M7"/>
  <c r="N7"/>
  <c r="O7"/>
  <c r="P7"/>
  <c r="Q7"/>
  <c r="M8"/>
  <c r="N8"/>
  <c r="O8"/>
  <c r="P8"/>
  <c r="Q8"/>
  <c r="M9"/>
  <c r="N9"/>
  <c r="O9"/>
  <c r="P9"/>
  <c r="Q9"/>
  <c r="M10"/>
  <c r="N10"/>
  <c r="O10"/>
  <c r="P10"/>
  <c r="Q10"/>
  <c r="M11"/>
  <c r="N11"/>
  <c r="O11"/>
  <c r="P11"/>
  <c r="Q11"/>
  <c r="M12"/>
  <c r="N12"/>
  <c r="O12"/>
  <c r="P12"/>
  <c r="Q12"/>
  <c r="M13"/>
  <c r="N13"/>
  <c r="O13"/>
  <c r="P13"/>
  <c r="Q13"/>
  <c r="M14"/>
  <c r="N14"/>
  <c r="O14"/>
  <c r="P14"/>
  <c r="Q14"/>
  <c r="M15"/>
  <c r="N15"/>
  <c r="O15"/>
  <c r="P15"/>
  <c r="Q15"/>
  <c r="E16"/>
  <c r="M16"/>
  <c r="N16"/>
  <c r="O16"/>
  <c r="P16"/>
  <c r="Q16"/>
  <c r="M17"/>
  <c r="N17"/>
  <c r="O17"/>
  <c r="P17"/>
  <c r="Q17"/>
  <c r="M18"/>
  <c r="N18"/>
  <c r="O18"/>
  <c r="P18"/>
  <c r="Q18"/>
  <c r="M19"/>
  <c r="N19"/>
  <c r="O19"/>
  <c r="P19"/>
  <c r="Q19"/>
  <c r="M20"/>
  <c r="N20"/>
  <c r="O20"/>
  <c r="P20"/>
  <c r="Q20"/>
  <c r="M21"/>
  <c r="N21"/>
  <c r="O21"/>
  <c r="P21"/>
  <c r="Q21"/>
  <c r="M22"/>
  <c r="Q22"/>
  <c r="M23"/>
  <c r="M24"/>
  <c r="M25"/>
  <c r="M26"/>
  <c r="N26"/>
  <c r="O26"/>
  <c r="P26"/>
  <c r="Q26"/>
  <c r="M27"/>
  <c r="N27"/>
  <c r="O27"/>
  <c r="P27"/>
  <c r="Q27"/>
  <c r="D29"/>
  <c r="A38"/>
  <c r="D38" s="1"/>
  <c r="E43" i="1" s="1"/>
  <c r="M5" i="12"/>
  <c r="N5"/>
  <c r="O5"/>
  <c r="P5"/>
  <c r="Q5"/>
  <c r="M6"/>
  <c r="N6"/>
  <c r="O6"/>
  <c r="P6"/>
  <c r="Q6"/>
  <c r="M7"/>
  <c r="N7"/>
  <c r="O7"/>
  <c r="P7"/>
  <c r="Q7"/>
  <c r="M8"/>
  <c r="N8"/>
  <c r="O8"/>
  <c r="P8"/>
  <c r="Q8"/>
  <c r="M9"/>
  <c r="N9"/>
  <c r="O9"/>
  <c r="P9"/>
  <c r="Q9"/>
  <c r="M10"/>
  <c r="N10"/>
  <c r="O10"/>
  <c r="P10"/>
  <c r="Q10"/>
  <c r="M11"/>
  <c r="N11"/>
  <c r="O11"/>
  <c r="P11"/>
  <c r="Q11"/>
  <c r="M12"/>
  <c r="N12"/>
  <c r="O12"/>
  <c r="P12"/>
  <c r="Q12"/>
  <c r="M13"/>
  <c r="N13"/>
  <c r="O13"/>
  <c r="P13"/>
  <c r="Q13"/>
  <c r="M14"/>
  <c r="N14"/>
  <c r="O14"/>
  <c r="P14"/>
  <c r="Q14"/>
  <c r="M15"/>
  <c r="N15"/>
  <c r="O15"/>
  <c r="P15"/>
  <c r="Q15"/>
  <c r="M16"/>
  <c r="N16"/>
  <c r="O16"/>
  <c r="P16"/>
  <c r="Q16"/>
  <c r="M17"/>
  <c r="N17"/>
  <c r="O17"/>
  <c r="P17"/>
  <c r="Q17"/>
  <c r="M18"/>
  <c r="N18"/>
  <c r="O18"/>
  <c r="P18"/>
  <c r="Q18"/>
  <c r="M19"/>
  <c r="N19"/>
  <c r="O19"/>
  <c r="P19"/>
  <c r="Q19"/>
  <c r="M20"/>
  <c r="N20"/>
  <c r="O20"/>
  <c r="P20"/>
  <c r="Q20"/>
  <c r="M21"/>
  <c r="Q21"/>
  <c r="M22"/>
  <c r="M23"/>
  <c r="M24"/>
  <c r="M25"/>
  <c r="N25"/>
  <c r="O25"/>
  <c r="P25"/>
  <c r="Q25"/>
  <c r="M26"/>
  <c r="N26"/>
  <c r="O26"/>
  <c r="P26"/>
  <c r="Q26"/>
  <c r="C7" i="8"/>
  <c r="C12" s="1"/>
  <c r="D7"/>
  <c r="D12" s="1"/>
  <c r="G7"/>
  <c r="G10" s="1"/>
  <c r="C8"/>
  <c r="D8"/>
  <c r="C9"/>
  <c r="D9"/>
  <c r="G9"/>
  <c r="G23" s="1"/>
  <c r="C10"/>
  <c r="D10"/>
  <c r="C11"/>
  <c r="D11"/>
  <c r="G13"/>
  <c r="G8"/>
  <c r="A2" i="15"/>
  <c r="B2"/>
  <c r="C2"/>
  <c r="D2"/>
  <c r="E2"/>
  <c r="F2"/>
  <c r="G2"/>
  <c r="H2"/>
  <c r="I2"/>
  <c r="J2"/>
  <c r="K2"/>
  <c r="L2"/>
  <c r="M2"/>
  <c r="N2"/>
  <c r="O2"/>
  <c r="P2"/>
  <c r="G34" i="8" l="1"/>
  <c r="H34" s="1"/>
  <c r="G24"/>
  <c r="H24" s="1"/>
  <c r="G28"/>
  <c r="H28" s="1"/>
  <c r="G26"/>
  <c r="H26" s="1"/>
  <c r="G30"/>
  <c r="H30" s="1"/>
  <c r="G32"/>
  <c r="H32" s="1"/>
  <c r="G25"/>
  <c r="H25" s="1"/>
  <c r="G27"/>
  <c r="H27" s="1"/>
  <c r="G29"/>
  <c r="H29" s="1"/>
  <c r="G31"/>
  <c r="H31" s="1"/>
  <c r="G33"/>
  <c r="H33" s="1"/>
  <c r="G22"/>
  <c r="E54" i="1"/>
  <c r="E23"/>
  <c r="O45" i="2" s="1"/>
  <c r="H23" i="8"/>
  <c r="C14"/>
  <c r="E49" i="1" l="1"/>
  <c r="D49" i="25" l="1"/>
  <c r="D51"/>
  <c r="D46"/>
  <c r="D50"/>
  <c r="D54"/>
  <c r="D53"/>
  <c r="D48"/>
  <c r="D52"/>
  <c r="D45"/>
  <c r="J13" s="1"/>
  <c r="D47"/>
  <c r="D55"/>
  <c r="H55" s="1"/>
  <c r="E15"/>
  <c r="E14"/>
  <c r="E17"/>
  <c r="E16"/>
  <c r="H54" l="1"/>
  <c r="H47"/>
  <c r="H53"/>
  <c r="H51"/>
  <c r="H45"/>
  <c r="H49"/>
  <c r="H48"/>
  <c r="H46"/>
  <c r="H52"/>
  <c r="H50"/>
  <c r="H56" l="1"/>
  <c r="J23" l="1" a="1"/>
  <c r="K23" s="1"/>
  <c r="H23" s="1"/>
  <c r="L23" l="1"/>
  <c r="H24" s="1"/>
  <c r="J23"/>
  <c r="H22" s="1"/>
  <c r="F25" l="1"/>
  <c r="F23"/>
  <c r="J21"/>
  <c r="F22"/>
  <c r="F24"/>
  <c r="E47"/>
  <c r="F47" s="1"/>
  <c r="G47" s="1"/>
  <c r="E51"/>
  <c r="F51" s="1"/>
  <c r="G51" s="1"/>
  <c r="E49"/>
  <c r="F49" s="1"/>
  <c r="G49" s="1"/>
  <c r="E48"/>
  <c r="F48" s="1"/>
  <c r="G48" s="1"/>
  <c r="E54"/>
  <c r="F54" s="1"/>
  <c r="G54" s="1"/>
  <c r="E53"/>
  <c r="F53" s="1"/>
  <c r="G53" s="1"/>
  <c r="E45"/>
  <c r="F45" s="1"/>
  <c r="G45" s="1"/>
  <c r="E55"/>
  <c r="F55" s="1"/>
  <c r="G55" s="1"/>
  <c r="E50"/>
  <c r="F50" s="1"/>
  <c r="G50" s="1"/>
  <c r="E52"/>
  <c r="F52" s="1"/>
  <c r="G52" s="1"/>
  <c r="E46"/>
  <c r="F46" s="1"/>
  <c r="G46" s="1"/>
  <c r="G56" l="1"/>
  <c r="T21" i="2" l="1"/>
  <c r="U29" i="22"/>
  <c r="G58" i="25"/>
  <c r="N25" i="2" s="1"/>
  <c r="N28" s="1"/>
  <c r="G57" i="25"/>
  <c r="D37" i="1" l="1"/>
  <c r="T24" i="2"/>
  <c r="D36" i="1"/>
  <c r="D81" i="25"/>
  <c r="U21" i="2"/>
  <c r="E81" i="25" s="1"/>
  <c r="U30" i="22"/>
  <c r="R17"/>
  <c r="Y5" l="1"/>
  <c r="Y8"/>
  <c r="Y10"/>
  <c r="Y11"/>
  <c r="Y7"/>
  <c r="Y9"/>
  <c r="Y6"/>
  <c r="T25" i="2"/>
  <c r="D84" i="25"/>
  <c r="D85" l="1"/>
  <c r="V21" i="2"/>
  <c r="F81" i="25" s="1"/>
  <c r="V20" i="2"/>
  <c r="F80" i="25" s="1"/>
</calcChain>
</file>

<file path=xl/comments1.xml><?xml version="1.0" encoding="utf-8"?>
<comments xmlns="http://schemas.openxmlformats.org/spreadsheetml/2006/main">
  <authors>
    <author>A satisfied Microsoft Office user</author>
  </authors>
  <commentList>
    <comment ref="D5" authorId="0">
      <text>
        <r>
          <rPr>
            <sz val="8"/>
            <color indexed="81"/>
            <rFont val="Tahoma"/>
            <family val="2"/>
          </rPr>
          <t>Charlie Grist:
Select building type from list.  If multiple building types are present consider separate audit sheets for separate buildings.  Or select the type that most closely matches the primary areas of the building where proposed lighting measures occur. 
This value is used to estimate interactive effects of lighting energy savings on HVAC.</t>
        </r>
      </text>
    </comment>
    <comment ref="D6" authorId="0">
      <text>
        <r>
          <rPr>
            <sz val="8"/>
            <color indexed="81"/>
            <rFont val="Tahoma"/>
            <family val="2"/>
          </rPr>
          <t>Charlie Grist:
Select dominant space heat type from list.  If multiple space heat types are present, consider separate audit sheets for separate buildings.  Or select the type that most closely matches the primary areas of the building where proposed lighting measures occur. 
This value is used to estimate interactive effects of lighting energy savings on HVAC.</t>
        </r>
      </text>
    </comment>
  </commentList>
</comments>
</file>

<file path=xl/comments2.xml><?xml version="1.0" encoding="utf-8"?>
<comments xmlns="http://schemas.openxmlformats.org/spreadsheetml/2006/main">
  <authors>
    <author>A satisfied Microsoft Office user</author>
  </authors>
  <commentList>
    <comment ref="G3" authorId="0">
      <text>
        <r>
          <rPr>
            <sz val="8"/>
            <color indexed="81"/>
            <rFont val="Tahoma"/>
            <family val="2"/>
          </rPr>
          <t>Charlie Grist:
Lighting Savings Yield is the fraction of lighting energy savings that is realized after taking into account interactions between energy use in the lighting, heating and cooling systems.  These values include region-wide estimates of the average saturation of cooling systems.
Multiply lighting savings by LSYield to get energy savings net of electric space heat &amp; cooling interactions. 
Does not include gas interactions.
Values are from a series of several hundred DOE 2 runs performed by Mike Kennedy in 2003 on several prototypes in several configurations of shell, lpd, ventilation rates, HVAC system configuration and climate.  Adopted by RTF in 2004.
Values are default estimates for common cases of building and system configuration and operating conditions thought to represent the population. Over 600 results were synthesized into the categories represented in the tables as a simplification for regional conservation analysis and for default values for the RTF calculators and deemed savings calculations. As a result the default values may not represent specific cases. Specific cases which are thought to have significantly different interactions than the defaults should be modeled under RTF protocols.
Original work in file: InteractionsBldgType01082004.xls
Default annual hours of lighting operation are estimated from twelve sources by Grist and adopted by RTF in 2004.  See file R:\CG\Main\Plan 5\Commercial\Assessment\Data\hours.xls</t>
        </r>
      </text>
    </comment>
  </commentList>
</comments>
</file>

<file path=xl/comments3.xml><?xml version="1.0" encoding="utf-8"?>
<comments xmlns="http://schemas.openxmlformats.org/spreadsheetml/2006/main">
  <authors>
    <author>A satisfied Microsoft Office user</author>
  </authors>
  <commentList>
    <comment ref="G3" authorId="0">
      <text>
        <r>
          <rPr>
            <sz val="8"/>
            <color indexed="81"/>
            <rFont val="Tahoma"/>
            <family val="2"/>
          </rPr>
          <t>Charlie Grist:
Lighting Savings Yield is the fraction of lighting energy savings that is realized after taking into account interactions between energy use in the lighting, heating and cooling systems.  These values include region-wide estimates of the average saturation of cooling systems.
Multiply lighting savings by LSYield to get energy savings net of electric space heat &amp; cooling interactions. 
Does not include gas interactions.
Values are from a series of several hundred DOE 2 runs performed by Mike Kennedy in 2003 on several prototypes in several configurations of shell, lpd, ventilation rates, HVAC system configuration and climate.  Adopted by RTF in 2004.
Values are default estimates for common cases of building and system configuration and operating conditions thought to represent the population. Over 600 results were synthesized into the categories represented in the tables as a simplification for regional conservation analysis and for default values for the RTF calculators and deemed savings calculations. As a result the default values may not represent specific cases. Specific cases which are thought to have significantly different interactions than the defaults should be modeled under RTF protocols.
Original work in file: InteractionsBldgType01082004.xls
Default annual hours of lighting operation are estimated from twelve sources by Grist and adopted by RTF in 2004.  See file R:\CG\Main\Plan 5\Commercial\Assessment\Data\hours.xls</t>
        </r>
      </text>
    </comment>
  </commentList>
</comments>
</file>

<file path=xl/sharedStrings.xml><?xml version="1.0" encoding="utf-8"?>
<sst xmlns="http://schemas.openxmlformats.org/spreadsheetml/2006/main" count="2900" uniqueCount="858">
  <si>
    <t>MEASURE REFERENCE NUMBER:</t>
  </si>
  <si>
    <t>MEASURE DESCRIPTION:</t>
  </si>
  <si>
    <t>CHELAN PUD CUSTOMER NAME:</t>
  </si>
  <si>
    <t>ELECTRIC RATE SCH:</t>
  </si>
  <si>
    <t>Sch. 2, Commercial &gt;40 kW</t>
  </si>
  <si>
    <t>DOMINANT BUILDING TYPE:</t>
  </si>
  <si>
    <t>PRIMARY HEAT &amp; COOL SYSTEM:</t>
  </si>
  <si>
    <t>SERVICE ADDRESS:</t>
  </si>
  <si>
    <t>CITY, STATE, ZIP CODE:</t>
  </si>
  <si>
    <t>FACILITY CONTACT:</t>
  </si>
  <si>
    <t>CONTACT EMAIL:</t>
  </si>
  <si>
    <t>PHONE NUMBER:</t>
  </si>
  <si>
    <t>METER NUMBER:</t>
  </si>
  <si>
    <t>FEDERAL TAX ID NUMBER:</t>
  </si>
  <si>
    <t>Incentive Check Information (if different than above).</t>
  </si>
  <si>
    <t>NAME ON INCENTIVE CHECK (Print):</t>
  </si>
  <si>
    <t>INCENTIVE CHECK MAILING ADDRESS:</t>
  </si>
  <si>
    <t>INCENTIVE CHECK - CITY, STATE, ZIP CODE:</t>
  </si>
  <si>
    <t>Maximo #:</t>
  </si>
  <si>
    <t>Account #:</t>
  </si>
  <si>
    <t>Electric Meter Service Point #:</t>
  </si>
  <si>
    <t>PUD Purchase Requisition #:</t>
  </si>
  <si>
    <t>PUD Purchase Order #:</t>
  </si>
  <si>
    <t>Demand Savings:</t>
  </si>
  <si>
    <t>kWh/Year</t>
  </si>
  <si>
    <t>Electric Heating Penalty:</t>
  </si>
  <si>
    <t>Total Annual kWh Savings:</t>
  </si>
  <si>
    <t>Total Annual Busbar Energy Saved:</t>
  </si>
  <si>
    <t>Incentive Unit Amount:</t>
  </si>
  <si>
    <t>Maximum Incentive Amount:</t>
  </si>
  <si>
    <t>Incentive Amount:</t>
  </si>
  <si>
    <t>DEFAULT SETTINGS</t>
  </si>
  <si>
    <t>SECTOR:</t>
  </si>
  <si>
    <t>CATEGORY:</t>
  </si>
  <si>
    <t>SUB-CATEGORY:</t>
  </si>
  <si>
    <t>BUILDING TYPE:</t>
  </si>
  <si>
    <t>VINTAGE:</t>
  </si>
  <si>
    <t>Existing</t>
  </si>
  <si>
    <t>LOST OPPORTUNITY:</t>
  </si>
  <si>
    <t>No</t>
  </si>
  <si>
    <t>LOCATION:</t>
  </si>
  <si>
    <t>Heating Zone 1 Cooling Zone 3</t>
  </si>
  <si>
    <t>MEASURE LIFE:</t>
  </si>
  <si>
    <t>BASIS OF SAVINGS:</t>
  </si>
  <si>
    <t>ESTIMATED KWH SAVED</t>
  </si>
  <si>
    <t>ACTUAL/VERIFIED KWH/UNIT SAVED:</t>
  </si>
  <si>
    <t>FUNDING SOURCE:</t>
  </si>
  <si>
    <t>UTILITY FUNDING</t>
  </si>
  <si>
    <t>PO DATE TO USE:</t>
  </si>
  <si>
    <t>PAID</t>
  </si>
  <si>
    <t>STATUS (Initial setting, to be updated by CIS):</t>
  </si>
  <si>
    <t>Preliminary</t>
  </si>
  <si>
    <t>MAXIMO WORK ORDER #:</t>
  </si>
  <si>
    <t>GL ACCOUNT #:</t>
  </si>
  <si>
    <t>START DATE:</t>
  </si>
  <si>
    <t>FACILITY NAME:</t>
  </si>
  <si>
    <t>FAX NUMBER:</t>
  </si>
  <si>
    <t>(B)</t>
  </si>
  <si>
    <t>By signing this Application you are acknowledging you have read and agree with the Resource$mart Agreement attached to this form.</t>
  </si>
  <si>
    <t>CUSTOMER SIGNATURE</t>
  </si>
  <si>
    <t>DATE</t>
  </si>
  <si>
    <t>Authorization to proceed will be mailed to you within 10 days from date received by the PUD</t>
  </si>
  <si>
    <t>For Pre-Authorization, mail signed form to:</t>
  </si>
  <si>
    <t>Chelan County Public Utility District</t>
  </si>
  <si>
    <t>Energy Services Dept.,  Attn: Jim White</t>
  </si>
  <si>
    <t>PO Box 1231</t>
  </si>
  <si>
    <t>Wenatchee, WA  98807-1231</t>
  </si>
  <si>
    <t>To be completed by the PUD</t>
  </si>
  <si>
    <t>AUTHORIZED BY:</t>
  </si>
  <si>
    <t>VERIFIED BY:</t>
  </si>
  <si>
    <t>PO #</t>
  </si>
  <si>
    <t>MEASURE #</t>
  </si>
  <si>
    <t>Maximo #</t>
  </si>
  <si>
    <t>Account #</t>
  </si>
  <si>
    <t>COTR Quick Check</t>
  </si>
  <si>
    <t>Project Name</t>
  </si>
  <si>
    <t>Unique ID</t>
  </si>
  <si>
    <t>Project Cost</t>
  </si>
  <si>
    <t>Annual Busbar Savings</t>
  </si>
  <si>
    <t>kWh/year</t>
  </si>
  <si>
    <t>Wattage Reduction</t>
  </si>
  <si>
    <t>Total Reimbursement</t>
  </si>
  <si>
    <t>Benefit/Cost Ratio Calculation</t>
  </si>
  <si>
    <t>Cost</t>
  </si>
  <si>
    <t>Benefit</t>
  </si>
  <si>
    <t>Calculation of Present Value of O&amp;M (savings(-) or costs (+)</t>
  </si>
  <si>
    <t>PMT*[1-((1/(1+i))^N)]/I</t>
  </si>
  <si>
    <t>Capital Cost</t>
  </si>
  <si>
    <t>Real Discount Rate</t>
  </si>
  <si>
    <t>Where:</t>
  </si>
  <si>
    <t>PV Cleaning or Other O&amp;M Cost</t>
  </si>
  <si>
    <t>Periods</t>
  </si>
  <si>
    <t>PV = Present Value Stream of Equal Payments</t>
  </si>
  <si>
    <t>Present Value of Change in Gas Heating Cost</t>
  </si>
  <si>
    <t>Annual Cleaning or Other O&amp;M</t>
  </si>
  <si>
    <t>PV Lamp Periodic Replacement Cost</t>
  </si>
  <si>
    <t>PMT = Amount of each payment</t>
  </si>
  <si>
    <t>PV Energy Savings</t>
  </si>
  <si>
    <t>i = Discount Rate Per Period</t>
  </si>
  <si>
    <t>Total</t>
  </si>
  <si>
    <t>N = Number of Periods</t>
  </si>
  <si>
    <t>from Site Audit</t>
  </si>
  <si>
    <t>B/C Ratio</t>
  </si>
  <si>
    <t>Index</t>
  </si>
  <si>
    <t>Discounted Levelized $ per therm</t>
  </si>
  <si>
    <t>Look-Up Ids</t>
  </si>
  <si>
    <t>Lighting Savings Yield by Predominant Space Heat Fuel Source</t>
  </si>
  <si>
    <t>Load Shape Look Up</t>
  </si>
  <si>
    <t>5th Plan Name</t>
  </si>
  <si>
    <t>ShapeType</t>
  </si>
  <si>
    <t>Synergy</t>
  </si>
  <si>
    <t>Spaceheat</t>
  </si>
  <si>
    <t>Synergy Building Type Name</t>
  </si>
  <si>
    <t>Electric Resistance</t>
  </si>
  <si>
    <t>Heat Pump</t>
  </si>
  <si>
    <t>Gas</t>
  </si>
  <si>
    <t>Unconditioned</t>
  </si>
  <si>
    <t>Default Hours of Lighitng</t>
  </si>
  <si>
    <t>Gas Heat Interaction (therms saved per kWh lighting saved)</t>
  </si>
  <si>
    <t>Gas Heat NPV per kWh electric lighting saved</t>
  </si>
  <si>
    <t>Default Measure Life</t>
  </si>
  <si>
    <t>Large Off</t>
  </si>
  <si>
    <t>LgOff</t>
  </si>
  <si>
    <t>Enter information on Input Sheet</t>
  </si>
  <si>
    <t>Select Electric Rate Schedule</t>
  </si>
  <si>
    <t>Energy Charge, $/kWh</t>
  </si>
  <si>
    <t>Demand Charge, $/kW</t>
  </si>
  <si>
    <t>Resource$mart</t>
  </si>
  <si>
    <t>SECTOR</t>
  </si>
  <si>
    <t>GL Account #</t>
  </si>
  <si>
    <t>Medium Off</t>
  </si>
  <si>
    <t xml:space="preserve"> Office 20,000 to 100,000 sf</t>
  </si>
  <si>
    <t>Electric Resistance, No AC</t>
  </si>
  <si>
    <t>Small Off</t>
  </si>
  <si>
    <t>SmOff</t>
  </si>
  <si>
    <t xml:space="preserve"> Office &gt;100,000 sf</t>
  </si>
  <si>
    <t>Electric Resistance, w/ AC</t>
  </si>
  <si>
    <t>Sch. 2, Commercial &lt;40 kW</t>
  </si>
  <si>
    <t>Big Box</t>
  </si>
  <si>
    <t>LgRet</t>
  </si>
  <si>
    <t xml:space="preserve"> Office &lt;20,000 sf</t>
  </si>
  <si>
    <t>Small Box</t>
  </si>
  <si>
    <t>SmRet</t>
  </si>
  <si>
    <t xml:space="preserve"> Retail Big Box &gt;50,000 sf One-Story</t>
  </si>
  <si>
    <t>Gas Heat, No Air Cond.</t>
  </si>
  <si>
    <t>Sch. 3, Industrial</t>
  </si>
  <si>
    <t>High End</t>
  </si>
  <si>
    <t xml:space="preserve"> Retail 5,000 to 50,000 sf</t>
  </si>
  <si>
    <t>Gas w/ Air Cond.</t>
  </si>
  <si>
    <t>Sch. 30, Industrial, Time of Use</t>
  </si>
  <si>
    <t>Anchor</t>
  </si>
  <si>
    <t xml:space="preserve"> Retail Boutique &lt;5,000 sf</t>
  </si>
  <si>
    <t>Refrigerated or Cooled</t>
  </si>
  <si>
    <t>K-12</t>
  </si>
  <si>
    <t>School</t>
  </si>
  <si>
    <t xml:space="preserve"> Retail Anchor Store &gt;50,000 sf Multistory</t>
  </si>
  <si>
    <t>University</t>
  </si>
  <si>
    <t xml:space="preserve"> School K-12</t>
  </si>
  <si>
    <t>Warehouse</t>
  </si>
  <si>
    <t>Wareh</t>
  </si>
  <si>
    <t xml:space="preserve"> College or University</t>
  </si>
  <si>
    <t>Supermarket</t>
  </si>
  <si>
    <t>Groc</t>
  </si>
  <si>
    <t xml:space="preserve"> Warehouse</t>
  </si>
  <si>
    <t>MIniMart</t>
  </si>
  <si>
    <t xml:space="preserve"> Retail Supermarket</t>
  </si>
  <si>
    <t>Restaurant</t>
  </si>
  <si>
    <t>Rest</t>
  </si>
  <si>
    <t xml:space="preserve"> Retail Mini Mart</t>
  </si>
  <si>
    <t>Lodging</t>
  </si>
  <si>
    <t>Hotel</t>
  </si>
  <si>
    <t xml:space="preserve"> Restaurant</t>
  </si>
  <si>
    <t>Hospital</t>
  </si>
  <si>
    <t>Health</t>
  </si>
  <si>
    <t xml:space="preserve"> Lodging</t>
  </si>
  <si>
    <t>OtherHealth</t>
  </si>
  <si>
    <t xml:space="preserve"> Hospital</t>
  </si>
  <si>
    <t>Other</t>
  </si>
  <si>
    <t>CommLight</t>
  </si>
  <si>
    <t xml:space="preserve"> Other Health, Nursing, Medical Clinic</t>
  </si>
  <si>
    <t>Ind</t>
  </si>
  <si>
    <t xml:space="preserve"> Other Commercial</t>
  </si>
  <si>
    <t>ExCommLight</t>
  </si>
  <si>
    <t>Industrial Plant with One Shift</t>
  </si>
  <si>
    <t>IndShift1</t>
  </si>
  <si>
    <t>Industrial Plant with Three Shifts</t>
  </si>
  <si>
    <t>IndShift3</t>
  </si>
  <si>
    <t>Flat</t>
  </si>
  <si>
    <t>Industrial Plant with Two Shifts</t>
  </si>
  <si>
    <t>IndShift2</t>
  </si>
  <si>
    <t>StreetLight</t>
  </si>
  <si>
    <t>Exterior 24 Hour Operation</t>
  </si>
  <si>
    <t>Street &amp; Area Lighting (Photo Sensor Controlled)</t>
  </si>
  <si>
    <t>Values are from</t>
  </si>
  <si>
    <t>..\..\..\..\TE\RTF\Software\Deemed Calcs Final\PostFY06 Calcs\CreditCalc_kWh_FY07v1_7.xls</t>
  </si>
  <si>
    <t>For 12-year measure life all retrofit measures, including industrial lighting</t>
  </si>
  <si>
    <t>End Use/Measure</t>
  </si>
  <si>
    <t>Shape Pointer</t>
  </si>
  <si>
    <t>NPV/kWh for Selected Measure &amp; Lifetime</t>
  </si>
  <si>
    <t>Retrofit of Existing Lighting System, Unspecified Heating Fuel</t>
  </si>
  <si>
    <t>Lighting in Grocery, Air Source Heat Pump Heating and Cooling</t>
  </si>
  <si>
    <t>ExGrocHtPmpHt</t>
  </si>
  <si>
    <t>Lighting in Grocery, Electric Resistance Heating</t>
  </si>
  <si>
    <t>ExGrocElecHt</t>
  </si>
  <si>
    <t>Lighting in Grocery, Gas Heating</t>
  </si>
  <si>
    <t>ExGrocGasHt</t>
  </si>
  <si>
    <t>Lighting in Grocery, Unspecified Heating Fuel</t>
  </si>
  <si>
    <t>ExGroc</t>
  </si>
  <si>
    <t>Lighting in Health Care Facility, Air Source Heat Pump Heating and Cooling</t>
  </si>
  <si>
    <t>ExHealthHtPmpHt</t>
  </si>
  <si>
    <t>Lighting in Health Care Facility, Electric Resistance Heating</t>
  </si>
  <si>
    <t>ExHealthElecHt</t>
  </si>
  <si>
    <t>Lighting in Health Care Facility, Gas Heating</t>
  </si>
  <si>
    <t>ExHealthGasHt</t>
  </si>
  <si>
    <t>Lighting in Health Care Facility, Unspecified Heating Fuel</t>
  </si>
  <si>
    <t>ExHealth</t>
  </si>
  <si>
    <t>Lighting in Hotel, Air Source Heat Pump Heating and Cooling</t>
  </si>
  <si>
    <t>ExHotelHtPmpHt</t>
  </si>
  <si>
    <t>Lighting in Hotel, Electric Resistance Heating</t>
  </si>
  <si>
    <t>ExHotelElecHt</t>
  </si>
  <si>
    <t>Lighting in Hotel, Gas Heating</t>
  </si>
  <si>
    <t>ExHotelGasHt</t>
  </si>
  <si>
    <t>Lighting in Hotel, Unspecified Heating Fuel</t>
  </si>
  <si>
    <t>ExHotel</t>
  </si>
  <si>
    <t>Lighting in Large Office, Air Source Heat Pump Heating and Cooling</t>
  </si>
  <si>
    <t>ExLgOffHtPmpHt</t>
  </si>
  <si>
    <t>Lighting in Large Office, Electric Resistance Heating</t>
  </si>
  <si>
    <t>ExLgOffElecHt</t>
  </si>
  <si>
    <t>Lighting in Large Office, Gas Heating</t>
  </si>
  <si>
    <t>ExLgOffGasHt</t>
  </si>
  <si>
    <t>Lighting in Large Office, Unspecified Heating Fuel</t>
  </si>
  <si>
    <t>ExLgOff</t>
  </si>
  <si>
    <t>Lighting in Large Retail, Air Source Heat Pump Heating and Cooling</t>
  </si>
  <si>
    <t>ExLgRetHtPmpHt</t>
  </si>
  <si>
    <t>Lighting in Large Retail, Electric Resistance Heating</t>
  </si>
  <si>
    <t>ExLgRetElecHt</t>
  </si>
  <si>
    <t>Lighting in Large Retail, Gas Heating</t>
  </si>
  <si>
    <t>ExLgRetGasHt</t>
  </si>
  <si>
    <t>Lighting in Large Retail, Unspecified Heating Fuel</t>
  </si>
  <si>
    <t>ExLgRet</t>
  </si>
  <si>
    <t>Lighting in Lighting, Unspecified Heating Fuel and Building Type</t>
  </si>
  <si>
    <t>Lighting in Existing Restaurant, Air Source Heat Pump Heating and Cooling</t>
  </si>
  <si>
    <t>ExRestHtPmpHt</t>
  </si>
  <si>
    <t>Lighting in Existing Restaurant, Electric Resistance Heating</t>
  </si>
  <si>
    <t>ExRestElecHt</t>
  </si>
  <si>
    <t>Lighting in Existing Restaurant, Gas Heating</t>
  </si>
  <si>
    <t>ExRestGasHt</t>
  </si>
  <si>
    <t>Lighting in Existing Restaurant, Unspecified Heating Fuel</t>
  </si>
  <si>
    <t>ExRest</t>
  </si>
  <si>
    <t>Lighting in Existing School, Air Source Heat Pump Heating and Cooling</t>
  </si>
  <si>
    <t>ExSchoolHtPmpHt</t>
  </si>
  <si>
    <t>Lighting in Existing School, Electric Resistance Heating</t>
  </si>
  <si>
    <t>ExSchoolElecHt</t>
  </si>
  <si>
    <t>Lighting in Existing School, Gas Heating</t>
  </si>
  <si>
    <t>ExSchoolGasHt</t>
  </si>
  <si>
    <t>Lighting in Existing School, Unspecified Heating Fuel</t>
  </si>
  <si>
    <t>ExSchool</t>
  </si>
  <si>
    <t>Lighting in Existing Small  Retail, Air Source Heat Pump Heating and Cooling</t>
  </si>
  <si>
    <t>ExSmRetHtPmpHt</t>
  </si>
  <si>
    <t>Lighting in Existing Small  Retail, Gas Heating</t>
  </si>
  <si>
    <t>ExSmRetGasHt</t>
  </si>
  <si>
    <t>Lighting in Existing Small  Retail, Unspecified Heating Fuel</t>
  </si>
  <si>
    <t>ExSmRet</t>
  </si>
  <si>
    <t>Lighting in Existing Small Office, Air Source Heat Pump Heating and Cooling</t>
  </si>
  <si>
    <t>ExSmOffHtPmpHt</t>
  </si>
  <si>
    <t>Lighting in Existing Small Office, Electric Resistance Heating</t>
  </si>
  <si>
    <t>ExSmOffElecHt</t>
  </si>
  <si>
    <t>Lighting in Existing Small Office, Gas Heating</t>
  </si>
  <si>
    <t>ExSmOffGasHt</t>
  </si>
  <si>
    <t>Lighting in Existing Small Office, Unspecified Heating Fuel</t>
  </si>
  <si>
    <t>ExSmOff</t>
  </si>
  <si>
    <t>Lighting in Existing Small Retail, Electric Resistance Heating</t>
  </si>
  <si>
    <t>ExSmRetElecHt</t>
  </si>
  <si>
    <t>Lighting in Existing Warehouse, Air Source Heat Pump Heating and Cooling</t>
  </si>
  <si>
    <t>ExWarehHtPmpHt</t>
  </si>
  <si>
    <t>Lighting in Existing Warehouse, Electric Resistance Heating</t>
  </si>
  <si>
    <t>ExWarehElecHt</t>
  </si>
  <si>
    <t>Lighting in Existing Warehouse, Gas Heating</t>
  </si>
  <si>
    <t>ExWarehGasHt</t>
  </si>
  <si>
    <t>Lighting in Existing Warehouse, Unspecified Heating Fuel</t>
  </si>
  <si>
    <t>ExWareh</t>
  </si>
  <si>
    <t>Flat Load Profile</t>
  </si>
  <si>
    <t>FLAT</t>
  </si>
  <si>
    <t>PNW System Load Shape</t>
  </si>
  <si>
    <t>SysLoad</t>
  </si>
  <si>
    <t>Generic Plant with One Shift</t>
  </si>
  <si>
    <t>Generic Plant with Three Shifts</t>
  </si>
  <si>
    <t>Generic Plant with Two Shifts</t>
  </si>
  <si>
    <t>Item</t>
  </si>
  <si>
    <t>Bug</t>
  </si>
  <si>
    <t>Discovery Date</t>
  </si>
  <si>
    <t>Bug Version</t>
  </si>
  <si>
    <t>Who</t>
  </si>
  <si>
    <t>Disposition</t>
  </si>
  <si>
    <t>Revised Version</t>
  </si>
  <si>
    <t>Revision Date</t>
  </si>
  <si>
    <t>"NA" shows on Project summary under "Unit Value of Electric Savings (NPV/kWh)" cell H31 when Btype is "Other Commercial"</t>
  </si>
  <si>
    <t>CommercialLightingCalculator FY07 V1_1.xls</t>
  </si>
  <si>
    <t>Nora</t>
  </si>
  <si>
    <t xml:space="preserve">Due to misnamed load shape in tab ShapePV.  Fixed by Grist on 12/16/2005.  </t>
  </si>
  <si>
    <t>CommercialLightingCalculator FY07 V1_2.xls</t>
  </si>
  <si>
    <t xml:space="preserve">Outdated values for PV of energy saved by shape and btype in Shape PV.  </t>
  </si>
  <si>
    <t>Grist</t>
  </si>
  <si>
    <t xml:space="preserve">Bug due to earlier version 2 of CreditCalc with embedded error that put values off by one row.  Corrected to PV Values of Credit Calc Version 7.  </t>
  </si>
  <si>
    <t>User could input negative capital cost and Site Audit would report negative reimbursement.</t>
  </si>
  <si>
    <t>Added test to screen for input negative capital cost and set reimbursement to zero in cell R16 of tab 'Site Audit'.</t>
  </si>
  <si>
    <t xml:space="preserve">Wrong value for interaction on industrial one-shift, two-shift and three shift.  RTF recommended default values be same as for warehouse.  </t>
  </si>
  <si>
    <t>Corrected so that conditioned space interaction same as for warehouse.  Still use no interaction for unconditioned industrial.</t>
  </si>
  <si>
    <t>Rearranged facilities data on Site Audit tab and reflected all relevant data to Summary tab. Protected Summary tab</t>
  </si>
  <si>
    <t>CommercialLightingCalculator FY07 V1_3.xls</t>
  </si>
  <si>
    <t>New version uploaded to live site</t>
  </si>
  <si>
    <t>CommercialLightingCalculator FY07 V1_4.xls</t>
  </si>
  <si>
    <t>Btype</t>
  </si>
  <si>
    <t>SpaceHeat</t>
  </si>
  <si>
    <t>Space Heat Fuel Source</t>
  </si>
  <si>
    <t>Select building type</t>
  </si>
  <si>
    <t>Select heating type</t>
  </si>
  <si>
    <t>Version</t>
  </si>
  <si>
    <t>ML</t>
  </si>
  <si>
    <t>projcost</t>
  </si>
  <si>
    <t>busbr sav</t>
  </si>
  <si>
    <t>wattred</t>
  </si>
  <si>
    <t>totcred</t>
  </si>
  <si>
    <t>bc ratio</t>
  </si>
  <si>
    <t>bldgtype</t>
  </si>
  <si>
    <t>bldg</t>
  </si>
  <si>
    <t>acctno</t>
  </si>
  <si>
    <t>zip</t>
  </si>
  <si>
    <t>facility</t>
  </si>
  <si>
    <t>state</t>
  </si>
  <si>
    <t>projname</t>
  </si>
  <si>
    <t>street</t>
  </si>
  <si>
    <t>city</t>
  </si>
  <si>
    <t>PUD Admin Cost / Unit:</t>
  </si>
  <si>
    <t>x</t>
  </si>
  <si>
    <t>&lt;&lt;  Enter Cells Highlighted in Yellow</t>
  </si>
  <si>
    <t>Total Estimated Costs</t>
  </si>
  <si>
    <t>Total Actual Costs (attach receipts &amp; invoices)</t>
  </si>
  <si>
    <t>TOTAL RETROFIT COSTS:</t>
  </si>
  <si>
    <t>Total Annual Energy Saved:</t>
  </si>
  <si>
    <t>Commercial</t>
  </si>
  <si>
    <t>Industrial</t>
  </si>
  <si>
    <t>""</t>
  </si>
  <si>
    <t>Sch. 5, Irrigation</t>
  </si>
  <si>
    <t>Agricultural</t>
  </si>
  <si>
    <t>Sector</t>
  </si>
  <si>
    <t>End Use</t>
  </si>
  <si>
    <t>Category</t>
  </si>
  <si>
    <t>Technology/Activity/Practice</t>
  </si>
  <si>
    <t>Key Characteristics 1</t>
  </si>
  <si>
    <t>Key Characteristics 2</t>
  </si>
  <si>
    <t>Key Characteristics 3</t>
  </si>
  <si>
    <t>Key Characteristics 4</t>
  </si>
  <si>
    <t>Annual Savings @ Generator Busbar (kwh/yr)</t>
  </si>
  <si>
    <t>Credit / Reimbursement ($/unit)</t>
  </si>
  <si>
    <t>Measure Name</t>
  </si>
  <si>
    <t>Vintage</t>
  </si>
  <si>
    <t>Primary Building Type_Deemed</t>
  </si>
  <si>
    <t>Annual Savings @ Site (kwh/yr)</t>
  </si>
  <si>
    <t>Incremental Capital Cost ($/unit)</t>
  </si>
  <si>
    <t>BPA Effective Date</t>
  </si>
  <si>
    <t>BPA Expiration Date</t>
  </si>
  <si>
    <t>Measure Life (years)</t>
  </si>
  <si>
    <t>Comments</t>
  </si>
  <si>
    <t>Delivery Mechanism</t>
  </si>
  <si>
    <t>Efficient Case Savings Characteristics 1</t>
  </si>
  <si>
    <t>Efficient Case Savings Characteristics 2</t>
  </si>
  <si>
    <t>Efficient Case Savings Characteristics 3</t>
  </si>
  <si>
    <t>Efficient Case Savings Characteristics 4</t>
  </si>
  <si>
    <t>Efficient Case Savings Characteristics 5</t>
  </si>
  <si>
    <t>Installed Size/Volume/Etc.</t>
  </si>
  <si>
    <t>Unit Type of Savings/Reimbursement</t>
  </si>
  <si>
    <t>Installed Efficiency Level/Rating</t>
  </si>
  <si>
    <t>Motor Type</t>
  </si>
  <si>
    <t>Secondary Building Type_Deemed</t>
  </si>
  <si>
    <t>Building Square Footage</t>
  </si>
  <si>
    <t>Baseline Characteristics 1</t>
  </si>
  <si>
    <t>Baseline Characteristics 2</t>
  </si>
  <si>
    <t>Existing Size/Volume/Etc.</t>
  </si>
  <si>
    <t>Existing Efficiency Level/Rating</t>
  </si>
  <si>
    <t>State</t>
  </si>
  <si>
    <t>Fuel Type</t>
  </si>
  <si>
    <t>Installation Location</t>
  </si>
  <si>
    <t>Specification/Requirements</t>
  </si>
  <si>
    <t>Lost Opportunity</t>
  </si>
  <si>
    <t>Program</t>
  </si>
  <si>
    <t>End-user Benefits</t>
  </si>
  <si>
    <t>Societal Benefits</t>
  </si>
  <si>
    <t>RTF UES Measure Status</t>
  </si>
  <si>
    <t>RTF Effective Date</t>
  </si>
  <si>
    <t>RTF Sunset Date</t>
  </si>
  <si>
    <t>RTF Sunset Criteria</t>
  </si>
  <si>
    <t>Workbook Link</t>
  </si>
  <si>
    <t>M&amp;V Plan</t>
  </si>
  <si>
    <t>Savings Estimation Method</t>
  </si>
  <si>
    <t>Incremental O&amp;M Costs ($/unit)</t>
  </si>
  <si>
    <t>Present Value of Periodic Capital Replacement Cost ($/unit)</t>
  </si>
  <si>
    <t>Power System Transmission System Coincident Factor</t>
  </si>
  <si>
    <t>Power System Coincident Peak Reduction (KW)</t>
  </si>
  <si>
    <t>Distribution System Diversified Load Factor</t>
  </si>
  <si>
    <t>Distribution System Peak Load Reduction (kW)</t>
  </si>
  <si>
    <t>Present Value Electric Energy Savings ($/kWh)</t>
  </si>
  <si>
    <t>Present Value of Transmission &amp; Distribution System Benefits ($/kWh)</t>
  </si>
  <si>
    <t>Present Value Incremental Capital Cost ($/kWh)</t>
  </si>
  <si>
    <t>Present Value O &amp; M Cost ($/kWh)</t>
  </si>
  <si>
    <t>Present Value of Periodic Capital Replacement Cost ($/kWh)</t>
  </si>
  <si>
    <t>Present Value of Region Act's 10% Conservation Credit ($/kWh)</t>
  </si>
  <si>
    <t>Present Value Non-Electric System Benefits ($/kWh)</t>
  </si>
  <si>
    <t>Present Value Carbon Dioxide Reduction Benefits ($/kWh)</t>
  </si>
  <si>
    <t>Present Value Total Societal Benefits ($/kWh)</t>
  </si>
  <si>
    <t>Present Value Total Societal Costs ($/kWh)</t>
  </si>
  <si>
    <t xml:space="preserve">Net Present Value Societal Cost &amp; Benefits ($/kWh) </t>
  </si>
  <si>
    <t>Total Societal Benefit / Cost Ratio (TRC B/C Ratio)</t>
  </si>
  <si>
    <t>Levelized Cost (mills/kWh)</t>
  </si>
  <si>
    <t>C02 Reduction (tons over expected measure life)</t>
  </si>
  <si>
    <t>Cost Effective</t>
  </si>
  <si>
    <t xml:space="preserve"> </t>
  </si>
  <si>
    <t>RTF Approved</t>
  </si>
  <si>
    <t>RTF Active UES (Deemed)</t>
  </si>
  <si>
    <t>Yes</t>
  </si>
  <si>
    <t>New</t>
  </si>
  <si>
    <t>BPA Qualified</t>
  </si>
  <si>
    <t>BPA Qualified UES</t>
  </si>
  <si>
    <t>Motors/Drives</t>
  </si>
  <si>
    <t>Motors</t>
  </si>
  <si>
    <t>Motor Rewind</t>
  </si>
  <si>
    <t>15 Horsepower</t>
  </si>
  <si>
    <t>Motor Rewind 15 Horsepower BPA Qualified</t>
  </si>
  <si>
    <t>Non building measure (Motors)</t>
  </si>
  <si>
    <t>Deemed based on average motor loading and efficiency gain over impoperly rewound NEMA premium motor.</t>
  </si>
  <si>
    <t xml:space="preserve">Motor shall be rewound by Green Motors Practices Group program participant in good standing according to GMPG specifications for efficient rewinds. </t>
  </si>
  <si>
    <t>Green Motors</t>
  </si>
  <si>
    <t>Longer motor service life</t>
  </si>
  <si>
    <t>Lower electricity use, reduced air emissions.</t>
  </si>
  <si>
    <t>20 Horsepower</t>
  </si>
  <si>
    <t>Motor Rewind 20 Horsepower BPA Qualified</t>
  </si>
  <si>
    <t>25 Horsepower</t>
  </si>
  <si>
    <t>Motor Rewind 25 Horsepower BPA Qualified</t>
  </si>
  <si>
    <t>30 Horsepower</t>
  </si>
  <si>
    <t>Motor Rewind 30 Horsepower BPA Qualified</t>
  </si>
  <si>
    <t>40 Horsepower</t>
  </si>
  <si>
    <t>Motor Rewind 40 Horsepower BPA Qualified</t>
  </si>
  <si>
    <t>50 Horsepower</t>
  </si>
  <si>
    <t>Motor Rewind 50 Horsepower BPA Qualified</t>
  </si>
  <si>
    <t>60 Horsepower</t>
  </si>
  <si>
    <t>Motor Rewind 60 Horsepower BPA Qualified</t>
  </si>
  <si>
    <t>75 Horsepower</t>
  </si>
  <si>
    <t>Motor Rewind 75 Horsepower BPA Qualified</t>
  </si>
  <si>
    <t>100 Horsepower</t>
  </si>
  <si>
    <t>Motor Rewind 100 Horsepower BPA Qualified</t>
  </si>
  <si>
    <t>125 Horsepower</t>
  </si>
  <si>
    <t>Motor Rewind 125 Horsepower BPA Qualified</t>
  </si>
  <si>
    <t>150 Horsepower</t>
  </si>
  <si>
    <t>Motor Rewind 150 Horsepower BPA Qualified</t>
  </si>
  <si>
    <t>200 Horsepower</t>
  </si>
  <si>
    <t>Motor Rewind 200 Horsepower BPA Qualified</t>
  </si>
  <si>
    <t>250 Horsepower</t>
  </si>
  <si>
    <t>Motor Rewind 250 Horsepower BPA Qualified</t>
  </si>
  <si>
    <t>300 Horsepower</t>
  </si>
  <si>
    <t>Motor Rewind 300 Horsepower BPA Qualified</t>
  </si>
  <si>
    <t>350 Horsepower</t>
  </si>
  <si>
    <t>Motor Rewind 350 Horsepower BPA Qualified</t>
  </si>
  <si>
    <t>400 Horsepower</t>
  </si>
  <si>
    <t>Motor Rewind 400 Horsepower BPA Qualified</t>
  </si>
  <si>
    <t>450 Horsepower</t>
  </si>
  <si>
    <t>Motor Rewind 450 Horsepower BPA Qualified</t>
  </si>
  <si>
    <t>500 Horsepower</t>
  </si>
  <si>
    <t>Motor Rewind 500 Horsepower BPA Qualified</t>
  </si>
  <si>
    <t>600 Horsepower</t>
  </si>
  <si>
    <t>Motor Rewind 600 Horsepower BPA Qualified</t>
  </si>
  <si>
    <t>700 Horsepower</t>
  </si>
  <si>
    <t>Motor Rewind 700 Horsepower BPA Qualified</t>
  </si>
  <si>
    <t>800 Horsepower</t>
  </si>
  <si>
    <t>Motor Rewind 800 Horsepower BPA Qualified</t>
  </si>
  <si>
    <t>900 Horsepower</t>
  </si>
  <si>
    <t>Motor Rewind 900 Horsepower BPA Qualified</t>
  </si>
  <si>
    <t>1000 Horsepower</t>
  </si>
  <si>
    <t>Motor Rewind 1000 Horsepower BPA Qualified</t>
  </si>
  <si>
    <t>1250 Horsepower</t>
  </si>
  <si>
    <t>Motor Rewind 1250 Horsepower BPA Qualified</t>
  </si>
  <si>
    <t>1500 Horsepower</t>
  </si>
  <si>
    <t>Motor Rewind 1500 Horsepower BPA Qualified</t>
  </si>
  <si>
    <t>1750 Horsepower</t>
  </si>
  <si>
    <t>Motor Rewind 1750 Horsepower BPA Qualified</t>
  </si>
  <si>
    <t>2000 Horsepower</t>
  </si>
  <si>
    <t>Motor Rewind 2000 Horsepower BPA Qualified</t>
  </si>
  <si>
    <t>2250 Horsepower</t>
  </si>
  <si>
    <t>Motor Rewind 2250 Horsepower BPA Qualified</t>
  </si>
  <si>
    <t>2500 Horsepower</t>
  </si>
  <si>
    <t>Motor Rewind 2500 Horsepower BPA Qualified</t>
  </si>
  <si>
    <t>3000 Horsepower</t>
  </si>
  <si>
    <t>Motor Rewind 3000 Horsepower BPA Qualified</t>
  </si>
  <si>
    <t>3500 Horsepower</t>
  </si>
  <si>
    <t>Motor Rewind 3500 Horsepower BPA Qualified</t>
  </si>
  <si>
    <t>4000 Horsepower</t>
  </si>
  <si>
    <t>Motor Rewind 4000 Horsepower BPA Qualified</t>
  </si>
  <si>
    <t>4500 Horsepower</t>
  </si>
  <si>
    <t>Motor Rewind 4500 Horsepower BPA Qualified</t>
  </si>
  <si>
    <t>5000 Horsepower</t>
  </si>
  <si>
    <t>Motor Rewind 5000 Horsepower BPA Qualified</t>
  </si>
  <si>
    <t xml:space="preserve">Motors </t>
  </si>
  <si>
    <t>Low Voltage (Under 600v)</t>
  </si>
  <si>
    <t>1800 RPM</t>
  </si>
  <si>
    <t>Open Drip-Proof (ODP) or Totally Enclosed Fan Cooled (TEFC)</t>
  </si>
  <si>
    <t xml:space="preserve">Motors Low Voltage (Under 600v) 1800 RPM 25 Horsepower Open Drip-Proof (ODP) or Totally Enclosed Fan Cooled (TEFC) </t>
  </si>
  <si>
    <t>Savings are based on the difference between a NEMA Premium motor and the average efficiency for a rewound Open Drip Proof and Total Enclosed Fan Cooled motors with speeds of 1800 RPM listed in MotorMaster+ v4.0.  Average motor loading is assumed.</t>
  </si>
  <si>
    <t xml:space="preserve">NEMA Premium </t>
  </si>
  <si>
    <t>Higher Quality Motors</t>
  </si>
  <si>
    <t xml:space="preserve">Motors Low Voltage (Under 600v) 1800 RPM 50 Horsepower Open Drip-Proof (ODP) or Totally Enclosed Fan Cooled (TEFC) </t>
  </si>
  <si>
    <t xml:space="preserve">Motors Low Voltage (Under 600v) 1800 RPM 30 Horsepower Open Drip-Proof (ODP) or Totally Enclosed Fan Cooled (TEFC) </t>
  </si>
  <si>
    <t xml:space="preserve">Motors Low Voltage (Under 600v) 1800 RPM 40 Horsepower Open Drip-Proof (ODP) or Totally Enclosed Fan Cooled (TEFC) </t>
  </si>
  <si>
    <t xml:space="preserve">Motors Low Voltage (Under 600v) 1800 RPM 100 Horsepower Open Drip-Proof (ODP) or Totally Enclosed Fan Cooled (TEFC) </t>
  </si>
  <si>
    <t xml:space="preserve">Motors Low Voltage (Under 600v) 1800 RPM 75 Horsepower Open Drip-Proof (ODP) or Totally Enclosed Fan Cooled (TEFC) </t>
  </si>
  <si>
    <t xml:space="preserve">Motors Low Voltage (Under 600v) 1800 RPM 60 Horsepower Open Drip-Proof (ODP) or Totally Enclosed Fan Cooled (TEFC) </t>
  </si>
  <si>
    <t xml:space="preserve">Motors Low Voltage (Under 600v) 1800 RPM 125 Horsepower Open Drip-Proof (ODP) or Totally Enclosed Fan Cooled (TEFC) </t>
  </si>
  <si>
    <t xml:space="preserve">Motors Low Voltage (Under 600v) 1800 RPM 200 Horsepower Open Drip-Proof (ODP) or Totally Enclosed Fan Cooled (TEFC) </t>
  </si>
  <si>
    <t xml:space="preserve">Motors Low Voltage (Under 600v) 1800 RPM 150 Horsepower Open Drip-Proof (ODP) or Totally Enclosed Fan Cooled (TEFC) </t>
  </si>
  <si>
    <t>5 Horsepower</t>
  </si>
  <si>
    <t xml:space="preserve">Motors Low Voltage (Under 600v) 1800 RPM 5 Horsepower Open Drip-Proof (ODP) or Totally Enclosed Fan Cooled (TEFC) </t>
  </si>
  <si>
    <t>7.5 Horsepower</t>
  </si>
  <si>
    <t xml:space="preserve">Motors Low Voltage (Under 600v) 1800 RPM 7.5 Horsepower Open Drip-Proof (ODP) or Totally Enclosed Fan Cooled (TEFC) </t>
  </si>
  <si>
    <t>10 Horsepower</t>
  </si>
  <si>
    <t xml:space="preserve">Motors Low Voltage (Under 600v) 1800 RPM 10 Horsepower Open Drip-Proof (ODP) or Totally Enclosed Fan Cooled (TEFC) </t>
  </si>
  <si>
    <t xml:space="preserve">Motors Low Voltage (Under 600v) 1800 RPM 15 Horsepower Open Drip-Proof (ODP) or Totally Enclosed Fan Cooled (TEFC) </t>
  </si>
  <si>
    <t xml:space="preserve">Motors Low Voltage (Under 600v) 1800 RPM 20 Horsepower Open Drip-Proof (ODP) or Totally Enclosed Fan Cooled (TEFC) </t>
  </si>
  <si>
    <t>Motors/Drives Controls</t>
  </si>
  <si>
    <t>Motors/Drives Control Improvements (VFD)</t>
  </si>
  <si>
    <t>On Irrigation Turbine Pump</t>
  </si>
  <si>
    <t>Motors/Drives Control Improvements (VFD) On Irrigation Turbine Pump 5 Horsepower BPA Qualified</t>
  </si>
  <si>
    <t>Motor stays in service as this is an added device (VFD) Any irrigation related pumping operation with  variation in flow rates (e.g. variation of 20% or more) or discharge pressure requirements (e.g. variation of 10% or more).</t>
  </si>
  <si>
    <t>Motors/Drives Control Improvements (VFD) On Irrigation Turbine Pump 10 Horsepower BPA Qualified</t>
  </si>
  <si>
    <t>Motors/Drives Control Improvements (VFD) On Irrigation Turbine Pump 15 Horsepower BPA Qualified</t>
  </si>
  <si>
    <t>Motors/Drives Control Improvements (VFD) On Irrigation Turbine Pump 20 Horsepower BPA Qualified</t>
  </si>
  <si>
    <t>Motors/Drives Control Improvements (VFD) On Irrigation Turbine Pump 25 Horsepower BPA Qualified</t>
  </si>
  <si>
    <t>Motors/Drives Control Improvements (VFD) On Irrigation Turbine Pump 30 Horsepower BPA Qualified</t>
  </si>
  <si>
    <t>35 Horsepower</t>
  </si>
  <si>
    <t>Motors/Drives Control Improvements (VFD) On Irrigation Turbine Pump 35 Horsepower BPA Qualified</t>
  </si>
  <si>
    <t>Motors/Drives Control Improvements (VFD) On Irrigation Turbine Pump 40 Horsepower BPA Qualified</t>
  </si>
  <si>
    <t>45 Horsepower</t>
  </si>
  <si>
    <t>Motors/Drives Control Improvements (VFD) On Irrigation Turbine Pump 45 Horsepower BPA Qualified</t>
  </si>
  <si>
    <t>Motors/Drives Control Improvements (VFD) On Irrigation Turbine Pump 50 Horsepower BPA Qualified</t>
  </si>
  <si>
    <t>55 Horsepower</t>
  </si>
  <si>
    <t>Motors/Drives Control Improvements (VFD) On Irrigation Turbine Pump 55 Horsepower BPA Qualified</t>
  </si>
  <si>
    <t>Motors/Drives Control Improvements (VFD) On Irrigation Turbine Pump 60 Horsepower BPA Qualified</t>
  </si>
  <si>
    <t>65 Horsepower</t>
  </si>
  <si>
    <t>Motors/Drives Control Improvements (VFD) On Irrigation Turbine Pump 65 Horsepower BPA Qualified</t>
  </si>
  <si>
    <t>70 Horsepower</t>
  </si>
  <si>
    <t>Motors/Drives Control Improvements (VFD) On Irrigation Turbine Pump 70 Horsepower BPA Qualified</t>
  </si>
  <si>
    <t>Motors/Drives Control Improvements (VFD) On Irrigation Turbine Pump 75 Horsepower BPA Qualified</t>
  </si>
  <si>
    <t>80 Horsepower</t>
  </si>
  <si>
    <t>Motors/Drives Control Improvements (VFD) On Irrigation Turbine Pump 80 Horsepower BPA Qualified</t>
  </si>
  <si>
    <t>85 Horsepower</t>
  </si>
  <si>
    <t>Motors/Drives Control Improvements (VFD) On Irrigation Turbine Pump 85 Horsepower BPA Qualified</t>
  </si>
  <si>
    <t>90 Horsepower</t>
  </si>
  <si>
    <t>Motors/Drives Control Improvements (VFD) On Irrigation Turbine Pump 90 Horsepower BPA Qualified</t>
  </si>
  <si>
    <t>95 Horsepower</t>
  </si>
  <si>
    <t>Motors/Drives Control Improvements (VFD) On Irrigation Turbine Pump 95 Horsepower BPA Qualified</t>
  </si>
  <si>
    <t>Motors/Drives Control Improvements (VFD) On Irrigation Turbine Pump 100 Horsepower BPA Qualified</t>
  </si>
  <si>
    <t>105 Horsepower</t>
  </si>
  <si>
    <t>Motors/Drives Control Improvements (VFD) On Irrigation Turbine Pump 105 Horsepower BPA Qualified</t>
  </si>
  <si>
    <t>110 Horsepower</t>
  </si>
  <si>
    <t>Motors/Drives Control Improvements (VFD) On Irrigation Turbine Pump 110 Horsepower BPA Qualified</t>
  </si>
  <si>
    <t>120 Horsepower</t>
  </si>
  <si>
    <t>Motors/Drives Control Improvements (VFD) On Irrigation Turbine Pump 120 Horsepower BPA Qualified</t>
  </si>
  <si>
    <t>Motors/Drives Control Improvements (VFD) On Irrigation Turbine Pump 125 Horsepower BPA Qualified</t>
  </si>
  <si>
    <t>130 Horsepower</t>
  </si>
  <si>
    <t>Motors/Drives Control Improvements (VFD) On Irrigation Turbine Pump 130 Horsepower BPA Qualified</t>
  </si>
  <si>
    <t>135 Horsepower</t>
  </si>
  <si>
    <t>Motors/Drives Control Improvements (VFD) On Irrigation Turbine Pump 135 Horsepower BPA Qualified</t>
  </si>
  <si>
    <t>140 Horsepower</t>
  </si>
  <si>
    <t>Motors/Drives Control Improvements (VFD) On Irrigation Turbine Pump 140 Horsepower BPA Qualified</t>
  </si>
  <si>
    <t>145 Horsepower</t>
  </si>
  <si>
    <t>Motors/Drives Control Improvements (VFD) On Irrigation Turbine Pump 145 Horsepower BPA Qualified</t>
  </si>
  <si>
    <t>Motors/Drives Control Improvements (VFD) On Irrigation Turbine Pump 150 Horsepower BPA Qualified</t>
  </si>
  <si>
    <t>155 Horsepower</t>
  </si>
  <si>
    <t>Motors/Drives Control Improvements (VFD) On Irrigation Turbine Pump 155 Horsepower BPA Qualified</t>
  </si>
  <si>
    <t>160 Horsepower</t>
  </si>
  <si>
    <t>Motors/Drives Control Improvements (VFD) On Irrigation Turbine Pump 160 Horsepower BPA Qualified</t>
  </si>
  <si>
    <t>165 Horsepower</t>
  </si>
  <si>
    <t>Motors/Drives Control Improvements (VFD) On Irrigation Turbine Pump 165 Horsepower BPA Qualified</t>
  </si>
  <si>
    <t>170 Horsepower</t>
  </si>
  <si>
    <t>Motors/Drives Control Improvements (VFD) On Irrigation Turbine Pump 170 Horsepower BPA Qualified</t>
  </si>
  <si>
    <t>175 Horsepower</t>
  </si>
  <si>
    <t>Motors/Drives Control Improvements (VFD) On Irrigation Turbine Pump 175 Horsepower BPA Qualified</t>
  </si>
  <si>
    <t>180 Horsepower</t>
  </si>
  <si>
    <t>Motors/Drives Control Improvements (VFD) On Irrigation Turbine Pump 180 Horsepower BPA Qualified</t>
  </si>
  <si>
    <t>185 Horsepower</t>
  </si>
  <si>
    <t>Motors/Drives Control Improvements (VFD) On Irrigation Turbine Pump 185 Horsepower BPA Qualified</t>
  </si>
  <si>
    <t>190 Horsepower</t>
  </si>
  <si>
    <t>Motors/Drives Control Improvements (VFD) On Irrigation Turbine Pump 190 Horsepower BPA Qualified</t>
  </si>
  <si>
    <t>195 Horsepower</t>
  </si>
  <si>
    <t>Motors/Drives Control Improvements (VFD) On Irrigation Turbine Pump 195 Horsepower BPA Qualified</t>
  </si>
  <si>
    <t>Motors/Drives Control Improvements (VFD) On Irrigation Turbine Pump 200 Horsepower BPA Qualified</t>
  </si>
  <si>
    <t>205 Horsepower</t>
  </si>
  <si>
    <t>Motors/Drives Control Improvements (VFD) On Irrigation Turbine Pump 205 Horsepower BPA Qualified</t>
  </si>
  <si>
    <t>210 Horsepower</t>
  </si>
  <si>
    <t>Motors/Drives Control Improvements (VFD) On Irrigation Turbine Pump 210 Horsepower BPA Qualified</t>
  </si>
  <si>
    <t>215 Horsepower</t>
  </si>
  <si>
    <t>Motors/Drives Control Improvements (VFD) On Irrigation Turbine Pump 215 Horsepower BPA Qualified</t>
  </si>
  <si>
    <t>220 Horsepower</t>
  </si>
  <si>
    <t>Motors/Drives Control Improvements (VFD) On Irrigation Turbine Pump 220 Horsepower BPA Qualified</t>
  </si>
  <si>
    <t>225 Horsepower</t>
  </si>
  <si>
    <t>Motors/Drives Control Improvements (VFD) On Irrigation Turbine Pump 225 Horsepower BPA Qualified</t>
  </si>
  <si>
    <t>230 Horsepower</t>
  </si>
  <si>
    <t>Motors/Drives Control Improvements (VFD) On Irrigation Turbine Pump 230 Horsepower BPA Qualified</t>
  </si>
  <si>
    <t>235 Horsepower</t>
  </si>
  <si>
    <t>Motors/Drives Control Improvements (VFD) On Irrigation Turbine Pump 235 Horsepower BPA Qualified</t>
  </si>
  <si>
    <t>240 Horsepower</t>
  </si>
  <si>
    <t>Motors/Drives Control Improvements (VFD) On Irrigation Turbine Pump 240 Horsepower BPA Qualified</t>
  </si>
  <si>
    <t>245 Horsepower</t>
  </si>
  <si>
    <t>Motors/Drives Control Improvements (VFD) On Irrigation Turbine Pump 245 Horsepower BPA Qualified</t>
  </si>
  <si>
    <t>Motors/Drives Control Improvements (VFD) On Irrigation Turbine Pump 250 Horsepower BPA Qualified</t>
  </si>
  <si>
    <t>Motors/Drives Control Improvements (VFD) On Irrigation Turbine Pump 300 Horsepower BPA Qualified</t>
  </si>
  <si>
    <t>Motors/Drives Control Improvements (VFD) On Irrigation Turbine Pump 350 Horsepower BPA Qualified</t>
  </si>
  <si>
    <t>Motors/Drives Control Improvements (VFD) On Irrigation Turbine Pump 400 Horsepower BPA Qualified</t>
  </si>
  <si>
    <t>Motors/Drives Control Improvements (VFD) On Irrigation Turbine Pump 450 Horsepower BPA Qualified</t>
  </si>
  <si>
    <t>Motors/Drives Control Improvements (VFD) On Irrigation Turbine Pump 500 Horsepower BPA Qualified</t>
  </si>
  <si>
    <t>Pump Manufacture</t>
  </si>
  <si>
    <t>Pump Model</t>
  </si>
  <si>
    <t>MR-Elec Usage by SP, Cons Data</t>
  </si>
  <si>
    <t xml:space="preserve"> 55</t>
  </si>
  <si>
    <t>SP ID</t>
  </si>
  <si>
    <t>From Date</t>
  </si>
  <si>
    <t>To Date</t>
  </si>
  <si>
    <t>Days</t>
  </si>
  <si>
    <t>KWH Used</t>
  </si>
  <si>
    <t>Actual KW</t>
  </si>
  <si>
    <t>Billed KW</t>
  </si>
  <si>
    <t>Power Factor</t>
  </si>
  <si>
    <t>Billed Amount</t>
  </si>
  <si>
    <t>Average Temp</t>
  </si>
  <si>
    <t>WP Sqft</t>
  </si>
  <si>
    <t>Sq Ft</t>
  </si>
  <si>
    <t/>
  </si>
  <si>
    <t>kW</t>
  </si>
  <si>
    <r>
      <rPr>
        <b/>
        <sz val="10"/>
        <color theme="1"/>
        <rFont val="Arial"/>
        <family val="2"/>
      </rPr>
      <t>For Payment:</t>
    </r>
    <r>
      <rPr>
        <sz val="10"/>
        <color theme="1"/>
        <rFont val="Arial"/>
        <family val="2"/>
      </rPr>
      <t xml:space="preserve"> Complete the Actual Installed section above. Attach a copy of this completed and signed application, along with copies of the invoices and receipts that document the actual costs incurred by the recipient to purchase and install the conservation measures.</t>
    </r>
  </si>
  <si>
    <t>Average Power</t>
  </si>
  <si>
    <t>Month</t>
  </si>
  <si>
    <t>Year</t>
  </si>
  <si>
    <t>Do not modify!</t>
  </si>
  <si>
    <t>Row Labels</t>
  </si>
  <si>
    <t>Grand Total</t>
  </si>
  <si>
    <t>Column Labels</t>
  </si>
  <si>
    <t>Sum of Average Power</t>
  </si>
  <si>
    <t>April</t>
  </si>
  <si>
    <t>May</t>
  </si>
  <si>
    <t>June</t>
  </si>
  <si>
    <t>July</t>
  </si>
  <si>
    <t>August</t>
  </si>
  <si>
    <t>September</t>
  </si>
  <si>
    <t>October</t>
  </si>
  <si>
    <t>Q1</t>
  </si>
  <si>
    <t>Min</t>
  </si>
  <si>
    <t>Median</t>
  </si>
  <si>
    <t>Max</t>
  </si>
  <si>
    <t>Q3</t>
  </si>
  <si>
    <t>Baseline</t>
  </si>
  <si>
    <t>Calculated</t>
  </si>
  <si>
    <t>Last Year</t>
  </si>
  <si>
    <t>Box Plot Calculations</t>
  </si>
  <si>
    <t>Sum of KWH Used</t>
  </si>
  <si>
    <t>kWH Used</t>
  </si>
  <si>
    <t>Savings Calculations</t>
  </si>
  <si>
    <t>VFD Savings (%)</t>
  </si>
  <si>
    <t>Motor Efficiency</t>
  </si>
  <si>
    <t>Pump Start Date</t>
  </si>
  <si>
    <t>Pump Stop Date</t>
  </si>
  <si>
    <t>Total Run Hours per Year</t>
  </si>
  <si>
    <t>Fixed Speed Pump RPM</t>
  </si>
  <si>
    <t>Fixed Speed Following Pump Curve, HP vs. GPM Flow</t>
  </si>
  <si>
    <t>Flow</t>
  </si>
  <si>
    <t>Head</t>
  </si>
  <si>
    <t>VFD Pump Following Fixed Discharge Pressure, HP vs. GPM Flow</t>
  </si>
  <si>
    <t>System Head</t>
  </si>
  <si>
    <t>Pump RPM</t>
  </si>
  <si>
    <t>% Time</t>
  </si>
  <si>
    <t>% Design Flow</t>
  </si>
  <si>
    <t>Design Flow, gpm</t>
  </si>
  <si>
    <t>Fixed Head HP Savings</t>
  </si>
  <si>
    <t>Fixed Head kWh Savings</t>
  </si>
  <si>
    <t>Baseline kWh</t>
  </si>
  <si>
    <t>Savings</t>
  </si>
  <si>
    <t>kWh/Year/HP</t>
  </si>
  <si>
    <t>BPA Savings (kWh/HP/Year)</t>
  </si>
  <si>
    <t>BPA kWh/HP/Year =</t>
  </si>
  <si>
    <t>Last Year =</t>
  </si>
  <si>
    <t>There is water in the Wenatchee Reclamation District canal from 4/15 to 10/15 yearly</t>
  </si>
  <si>
    <t>Existing Pressure Control</t>
  </si>
  <si>
    <t>Pressure Reducing Valve (ClaVal)</t>
  </si>
  <si>
    <t xml:space="preserve">Bypass Valve - Manual Gate or Ball Valve </t>
  </si>
  <si>
    <t>Bypass Valve - Automatic</t>
  </si>
  <si>
    <t>None</t>
  </si>
  <si>
    <t>Irrigation Pump VFD Additional System Information</t>
  </si>
  <si>
    <t>Which pressure control method best describes your system?</t>
  </si>
  <si>
    <t>Data for pressure control dropdown</t>
  </si>
  <si>
    <t>Centrifugal</t>
  </si>
  <si>
    <t>Residential</t>
  </si>
  <si>
    <t>Please Select a Pressure Control Method</t>
  </si>
  <si>
    <t>Pump Type</t>
  </si>
  <si>
    <t>Data for pump type dropdown</t>
  </si>
  <si>
    <t>Please Select a Pump Type</t>
  </si>
  <si>
    <t>Data for Water Use</t>
  </si>
  <si>
    <t>Data for Operation</t>
  </si>
  <si>
    <t>Please Select a Operation</t>
  </si>
  <si>
    <t>Turbine</t>
  </si>
  <si>
    <t>Seasonal Start Date</t>
  </si>
  <si>
    <t>Seasonal Stop Date</t>
  </si>
  <si>
    <t>Runs Continually</t>
  </si>
  <si>
    <t>Max. Incentive Rate = $60 per Horsepower.</t>
  </si>
  <si>
    <t xml:space="preserve">*Note:  The PUD agrees to pay the lesser of (a) $60 per motor HP controlled by VFD or (b) seventy-five percent (75%) of the customer's actual cost to purchase and install the VFD and controls. </t>
  </si>
  <si>
    <t>OFF</t>
  </si>
  <si>
    <t>Flow Rate Interval, Percentage of Maximum Flow and/or % Time Off</t>
  </si>
  <si>
    <t>Turns ON/OFF as Needed</t>
  </si>
  <si>
    <t>Motor Horsepower Rating (HP)</t>
  </si>
  <si>
    <t xml:space="preserve">Installation of Conservation Measures. </t>
  </si>
  <si>
    <t>Show Deemed Savings</t>
  </si>
  <si>
    <t>Show Calculated Annual Savings</t>
  </si>
  <si>
    <t xml:space="preserve">Cost/ Year </t>
  </si>
  <si>
    <t>($0.0165/kWh)</t>
  </si>
  <si>
    <t>Pump Speed (RPM)</t>
  </si>
  <si>
    <t>Total Installed Cost</t>
  </si>
  <si>
    <t>PUD Incentive</t>
  </si>
  <si>
    <t>Net Cost to Owner</t>
  </si>
  <si>
    <t>Simple</t>
  </si>
  <si>
    <t>Payback</t>
  </si>
  <si>
    <t>Irrigation Purpose</t>
  </si>
  <si>
    <t>Pump and System Information (Attach pump curve if available)</t>
  </si>
  <si>
    <t>Project Summary</t>
  </si>
  <si>
    <t>Maximum Incentive Payment (Lowest of A or B)</t>
  </si>
  <si>
    <t>VFD Savings (kWh)</t>
  </si>
  <si>
    <t>2007-05-25</t>
  </si>
  <si>
    <t>2007-05-26</t>
  </si>
  <si>
    <t>2007-06-27</t>
  </si>
  <si>
    <t>2007-07-25</t>
  </si>
  <si>
    <t>2007-07-26</t>
  </si>
  <si>
    <t>2008-04-23</t>
  </si>
  <si>
    <t>2008-05-23</t>
  </si>
  <si>
    <t>2008-06-24</t>
  </si>
  <si>
    <t>2008-10-24</t>
  </si>
  <si>
    <t>2008-10-25</t>
  </si>
  <si>
    <t>2009-05-22</t>
  </si>
  <si>
    <t>2009-05-23</t>
  </si>
  <si>
    <t>2009-06-24</t>
  </si>
  <si>
    <t>2009-09-23</t>
  </si>
  <si>
    <t>2010-04-23</t>
  </si>
  <si>
    <t>2010-05-25</t>
  </si>
  <si>
    <t>2010-06-24</t>
  </si>
  <si>
    <t>2010-07-23</t>
  </si>
  <si>
    <t>2010-07-24</t>
  </si>
  <si>
    <t>2011-04-22</t>
  </si>
  <si>
    <t>2011-04-23</t>
  </si>
  <si>
    <t>2011-05-24</t>
  </si>
  <si>
    <t>2011-05-25</t>
  </si>
  <si>
    <t>2011-06-23</t>
  </si>
  <si>
    <t>2011-08-24</t>
  </si>
  <si>
    <t>2011-08-25</t>
  </si>
  <si>
    <t>2011-09-23</t>
  </si>
  <si>
    <t>2011-10-24</t>
  </si>
  <si>
    <t>2011-10-25</t>
  </si>
  <si>
    <t>2012-04-24</t>
  </si>
  <si>
    <t>Fixed Speed HP</t>
  </si>
  <si>
    <t>Fixed Speed HP Fit</t>
  </si>
  <si>
    <t>Pressure Setpoint w/ VFD (ft)</t>
  </si>
  <si>
    <t>Fixed Head w/ VFD HP</t>
  </si>
  <si>
    <t>Multi-Stage</t>
  </si>
  <si>
    <t>Pressure Setpoint w/ VFD (psi)</t>
  </si>
  <si>
    <t>Control Type</t>
  </si>
  <si>
    <t>VFD Energy Savings Calculations</t>
  </si>
  <si>
    <t>IRRIGATION PUMP VFD INCENTIVE APPLICATION</t>
  </si>
  <si>
    <t>Please Select a Usage</t>
  </si>
  <si>
    <t>Efficiency</t>
  </si>
  <si>
    <t>a</t>
  </si>
  <si>
    <t>b</t>
  </si>
  <si>
    <t>c</t>
  </si>
  <si>
    <t>a =</t>
  </si>
  <si>
    <t>b =</t>
  </si>
  <si>
    <t>c =</t>
  </si>
  <si>
    <t>Const. Speed HP = a GPM ^2 + b GPM + c</t>
  </si>
  <si>
    <t>VFD HP = a GPM ^2 + b GPM + c</t>
  </si>
  <si>
    <t>VFD HP From Best Fit</t>
  </si>
  <si>
    <t>(Years)</t>
  </si>
  <si>
    <t>Deemed Savings</t>
  </si>
  <si>
    <t>Calculated Annual Savings</t>
  </si>
  <si>
    <t>Pump OFF</t>
  </si>
  <si>
    <t>Pump Pressure at Design Flow (Ft)</t>
  </si>
  <si>
    <t>Pressure Setpoint w/ VFD (Ft)</t>
  </si>
  <si>
    <t>-</t>
  </si>
  <si>
    <t>6142200001</t>
  </si>
  <si>
    <t>2006-11-01</t>
  </si>
  <si>
    <t>2007-04-27</t>
  </si>
  <si>
    <t>2007-04-28</t>
  </si>
  <si>
    <t>2007-06-26</t>
  </si>
  <si>
    <t>2007-08-27</t>
  </si>
  <si>
    <t>2007-08-28</t>
  </si>
  <si>
    <t>2007-09-27</t>
  </si>
  <si>
    <t>2007-09-28</t>
  </si>
  <si>
    <t>2007-10-29</t>
  </si>
  <si>
    <t>2007-10-30</t>
  </si>
  <si>
    <t>2008-04-24</t>
  </si>
  <si>
    <t>2008-05-24</t>
  </si>
  <si>
    <t>2008-06-25</t>
  </si>
  <si>
    <t>2008-07-28</t>
  </si>
  <si>
    <t>2008-07-29</t>
  </si>
  <si>
    <t>2008-08-25</t>
  </si>
  <si>
    <t>2008-08-26</t>
  </si>
  <si>
    <t>2008-09-25</t>
  </si>
  <si>
    <t>2008-09-26</t>
  </si>
  <si>
    <t>2009-04-24</t>
  </si>
  <si>
    <t>2009-06-25</t>
  </si>
  <si>
    <t>2009-07-28</t>
  </si>
  <si>
    <t>2009-07-29</t>
  </si>
  <si>
    <t>2009-08-24</t>
  </si>
  <si>
    <t>2009-08-25</t>
  </si>
  <si>
    <t>2009-09-24</t>
  </si>
  <si>
    <t>2009-10-26</t>
  </si>
  <si>
    <t>2009-10-27</t>
  </si>
  <si>
    <t>2010-04-24</t>
  </si>
  <si>
    <t>2010-05-26</t>
  </si>
  <si>
    <t>2010-06-25</t>
  </si>
  <si>
    <t>2010-08-25</t>
  </si>
  <si>
    <t>2010-08-26</t>
  </si>
  <si>
    <t>2010-09-27</t>
  </si>
  <si>
    <t>2010-09-28</t>
  </si>
  <si>
    <t>2010-10-26</t>
  </si>
  <si>
    <t>2010-10-27</t>
  </si>
  <si>
    <t>2011-06-24</t>
  </si>
  <si>
    <t>2011-07-27</t>
  </si>
  <si>
    <t>2011-07-28</t>
  </si>
  <si>
    <t>2011-09-24</t>
  </si>
  <si>
    <t>2012-04-25</t>
  </si>
  <si>
    <t>2012-05-23</t>
  </si>
  <si>
    <t>2012-05-24</t>
  </si>
  <si>
    <t>2012-06-22</t>
  </si>
  <si>
    <t>2012-06-23</t>
  </si>
  <si>
    <t>2012-07-24</t>
  </si>
  <si>
    <t>Deemed</t>
  </si>
  <si>
    <t>Maximum Design Flow, (GPM)</t>
  </si>
  <si>
    <t>From Pump Curve</t>
  </si>
  <si>
    <t>A</t>
  </si>
  <si>
    <t>B</t>
  </si>
  <si>
    <t>C</t>
  </si>
  <si>
    <t>D</t>
  </si>
  <si>
    <t>Coefficients</t>
  </si>
  <si>
    <t>Fixed</t>
  </si>
  <si>
    <t>Speed HP</t>
  </si>
  <si>
    <t>Fixed Speed HP = (A3*B3)/(3960*C3)</t>
  </si>
  <si>
    <t>Fixed Speed HP = a GPM^2 + b GPM + c</t>
  </si>
  <si>
    <t xml:space="preserve">To apply the LINEST function, type “=LINEST($D$3:$D$3,$A$3:$A$6^{1,2})” into </t>
  </si>
  <si>
    <t xml:space="preserve">cell A13, press “Enter”, then select cells A13 through C13 (A13:C13), press the </t>
  </si>
  <si>
    <t xml:space="preserve">function key F2, and then press Control-Shift-Enter keys at once.  Once this is </t>
  </si>
  <si>
    <t>done, the coefficients a, b and c will be shown in cells A13, B13 and C13</t>
  </si>
  <si>
    <t xml:space="preserve"> respectively and will automatically update as the flows and horsepowers in </t>
  </si>
  <si>
    <t>rows 3 through 4 are changed.</t>
  </si>
  <si>
    <t>% of Design Flow</t>
  </si>
  <si>
    <t>Flow Rate</t>
  </si>
  <si>
    <t>GPM</t>
  </si>
  <si>
    <t>Actual Measured Savings</t>
  </si>
  <si>
    <t>For the project to be eligible for this incentive program the following requirements must be meet: (a) annual energy savings as calculated by Chelan County PUD of proposed irrigation pump with a VFD must exceed 400 kWh/Yr/HP; (b) existing pressure reducing valves must be removed; (c) system pressure shall be controlled by VFD coupled with a pressure transducer.</t>
  </si>
</sst>
</file>

<file path=xl/styles.xml><?xml version="1.0" encoding="utf-8"?>
<styleSheet xmlns="http://schemas.openxmlformats.org/spreadsheetml/2006/main">
  <numFmts count="19">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d/\ h:mm"/>
    <numFmt numFmtId="165" formatCode="_(* #,##0_);_(* \(#,##0\);_(* &quot;-&quot;??_);_(@_)"/>
    <numFmt numFmtId="166" formatCode="0.00000"/>
    <numFmt numFmtId="167" formatCode="0.0000"/>
    <numFmt numFmtId="168" formatCode="_(&quot;$&quot;* #,##0_);_(&quot;$&quot;* \(#,##0\);_(&quot;$&quot;* &quot;-&quot;??_);_(@_)"/>
    <numFmt numFmtId="169" formatCode="&quot;$&quot;#,##0"/>
    <numFmt numFmtId="170" formatCode="&quot;$&quot;#,##0.00"/>
    <numFmt numFmtId="171" formatCode="yyyy\-mm\-dd"/>
    <numFmt numFmtId="172" formatCode="_(* #,##0.00000_);_(* \(#,##0.00000\);_(* &quot;-&quot;??_);_(@_)"/>
    <numFmt numFmtId="173" formatCode="0.0"/>
    <numFmt numFmtId="174" formatCode="_(* #,##0.0_);_(* \(#,##0.0\);_(* &quot;-&quot;??_);_(@_)"/>
    <numFmt numFmtId="175" formatCode="m/d/yy;@"/>
    <numFmt numFmtId="176" formatCode="#,##0_)&quot;HP&quot;;[Red]\(#,##0\)\ &quot;HP&quot;"/>
    <numFmt numFmtId="177" formatCode="_(* #,##0_);_(* \(#,##0\);_(* &quot;-&quot;?_);_(@_)"/>
  </numFmts>
  <fonts count="48">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b/>
      <sz val="10"/>
      <name val="Arial"/>
      <family val="2"/>
    </font>
    <font>
      <b/>
      <sz val="12"/>
      <name val="Arial"/>
      <family val="2"/>
    </font>
    <font>
      <sz val="12"/>
      <name val="Arial"/>
      <family val="2"/>
    </font>
    <font>
      <u/>
      <sz val="12"/>
      <color indexed="12"/>
      <name val="Times New Roman"/>
      <family val="1"/>
    </font>
    <font>
      <sz val="10"/>
      <name val="Arial"/>
      <family val="2"/>
    </font>
    <font>
      <b/>
      <sz val="10"/>
      <color indexed="9"/>
      <name val="Arial"/>
      <family val="2"/>
    </font>
    <font>
      <b/>
      <sz val="12"/>
      <color indexed="8"/>
      <name val="Arial"/>
      <family val="2"/>
    </font>
    <font>
      <sz val="10"/>
      <name val="Arial"/>
      <family val="2"/>
    </font>
    <font>
      <sz val="10"/>
      <color indexed="8"/>
      <name val="Arial"/>
      <family val="2"/>
    </font>
    <font>
      <b/>
      <sz val="10"/>
      <color indexed="8"/>
      <name val="Arial"/>
      <family val="2"/>
    </font>
    <font>
      <sz val="10"/>
      <color indexed="8"/>
      <name val="Arial"/>
      <family val="2"/>
    </font>
    <font>
      <b/>
      <sz val="12"/>
      <color indexed="8"/>
      <name val="Arial"/>
      <family val="2"/>
    </font>
    <font>
      <sz val="10"/>
      <color indexed="8"/>
      <name val="Arial"/>
      <family val="2"/>
    </font>
    <font>
      <sz val="8"/>
      <color indexed="81"/>
      <name val="Tahoma"/>
      <family val="2"/>
    </font>
    <font>
      <sz val="11"/>
      <color theme="1"/>
      <name val="Calibri"/>
      <family val="2"/>
      <scheme val="minor"/>
    </font>
    <font>
      <b/>
      <sz val="10"/>
      <color theme="1"/>
      <name val="Arial"/>
      <family val="2"/>
    </font>
    <font>
      <sz val="10"/>
      <color theme="1"/>
      <name val="Arial"/>
      <family val="2"/>
    </font>
    <font>
      <b/>
      <i/>
      <sz val="10"/>
      <color theme="1"/>
      <name val="Arial"/>
      <family val="2"/>
    </font>
    <font>
      <b/>
      <i/>
      <u/>
      <sz val="10"/>
      <color theme="1"/>
      <name val="Arial"/>
      <family val="2"/>
    </font>
    <font>
      <b/>
      <sz val="14"/>
      <color theme="1"/>
      <name val="Calibri"/>
      <family val="2"/>
      <scheme val="minor"/>
    </font>
    <font>
      <sz val="9"/>
      <color rgb="FF3C3C3C"/>
      <name val="Arial"/>
      <family val="2"/>
    </font>
    <font>
      <b/>
      <sz val="8"/>
      <name val="Arial"/>
      <family val="2"/>
    </font>
    <font>
      <sz val="8"/>
      <name val="Arial"/>
      <family val="2"/>
    </font>
    <font>
      <sz val="10"/>
      <name val="Arial Unicode MS"/>
    </font>
    <font>
      <b/>
      <sz val="11"/>
      <color theme="1"/>
      <name val="Calibri"/>
      <family val="2"/>
      <scheme val="minor"/>
    </font>
    <font>
      <b/>
      <sz val="11"/>
      <name val="Calibri"/>
      <family val="2"/>
      <scheme val="minor"/>
    </font>
    <font>
      <sz val="11"/>
      <name val="Calibri"/>
      <family val="2"/>
      <scheme val="minor"/>
    </font>
    <font>
      <u/>
      <sz val="11"/>
      <color theme="1"/>
      <name val="Calibri"/>
      <family val="2"/>
      <scheme val="minor"/>
    </font>
    <font>
      <b/>
      <sz val="14"/>
      <name val="Calibri"/>
      <family val="2"/>
      <scheme val="minor"/>
    </font>
    <font>
      <sz val="12"/>
      <name val="Calibri"/>
      <family val="2"/>
      <scheme val="minor"/>
    </font>
    <font>
      <sz val="11"/>
      <name val="Calibri"/>
      <family val="2"/>
    </font>
  </fonts>
  <fills count="17">
    <fill>
      <patternFill patternType="none"/>
    </fill>
    <fill>
      <patternFill patternType="gray125"/>
    </fill>
    <fill>
      <patternFill patternType="solid">
        <fgColor indexed="8"/>
        <bgColor indexed="64"/>
      </patternFill>
    </fill>
    <fill>
      <patternFill patternType="gray125">
        <fgColor indexed="41"/>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9"/>
        <bgColor indexed="64"/>
      </patternFill>
    </fill>
    <fill>
      <patternFill patternType="solid">
        <fgColor rgb="FFFFFF00"/>
        <bgColor indexed="64"/>
      </patternFill>
    </fill>
    <fill>
      <patternFill patternType="solid">
        <fgColor theme="0"/>
        <bgColor indexed="64"/>
      </patternFill>
    </fill>
    <fill>
      <patternFill patternType="solid">
        <fgColor indexed="42"/>
        <bgColor indexed="64"/>
      </patternFill>
    </fill>
    <fill>
      <patternFill patternType="solid">
        <fgColor indexed="2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theme="8" tint="0.79998168889431442"/>
        <bgColor indexed="64"/>
      </patternFill>
    </fill>
  </fills>
  <borders count="72">
    <border>
      <left/>
      <right/>
      <top/>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diagonal/>
    </border>
    <border>
      <left/>
      <right/>
      <top/>
      <bottom style="double">
        <color indexed="64"/>
      </bottom>
      <diagonal/>
    </border>
    <border>
      <left/>
      <right style="medium">
        <color indexed="64"/>
      </right>
      <top style="medium">
        <color indexed="64"/>
      </top>
      <bottom/>
      <diagonal/>
    </border>
    <border>
      <left/>
      <right/>
      <top/>
      <bottom style="thin">
        <color theme="4" tint="0.39997558519241921"/>
      </bottom>
      <diagonal/>
    </border>
    <border>
      <left/>
      <right/>
      <top style="thin">
        <color theme="4" tint="0.3999755851924192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medium">
        <color indexed="64"/>
      </bottom>
      <diagonal/>
    </border>
  </borders>
  <cellStyleXfs count="29">
    <xf numFmtId="0" fontId="0" fillId="0" borderId="0"/>
    <xf numFmtId="43" fontId="15" fillId="0" borderId="0" applyFont="0" applyFill="0" applyBorder="0" applyAlignment="0" applyProtection="0"/>
    <xf numFmtId="7" fontId="15" fillId="0" borderId="0" applyFont="0" applyFill="0" applyBorder="0" applyProtection="0">
      <alignment horizontal="center"/>
    </xf>
    <xf numFmtId="7" fontId="15" fillId="0" borderId="0" applyFont="0" applyFill="0" applyBorder="0" applyProtection="0">
      <alignment horizontal="center"/>
    </xf>
    <xf numFmtId="44" fontId="24" fillId="0" borderId="0" applyFont="0" applyFill="0" applyBorder="0" applyAlignment="0" applyProtection="0"/>
    <xf numFmtId="164" fontId="15" fillId="0" borderId="0"/>
    <xf numFmtId="2" fontId="15" fillId="0" borderId="0">
      <alignment horizontal="center"/>
    </xf>
    <xf numFmtId="0" fontId="16" fillId="0" borderId="0">
      <alignment horizontal="center" wrapText="1"/>
    </xf>
    <xf numFmtId="0" fontId="22" fillId="2" borderId="1">
      <alignment horizontal="left"/>
    </xf>
    <xf numFmtId="0" fontId="20" fillId="0" borderId="0" applyNumberFormat="0" applyFill="0" applyBorder="0" applyAlignment="0" applyProtection="0">
      <alignment vertical="top"/>
      <protection locked="0"/>
    </xf>
    <xf numFmtId="1" fontId="15" fillId="0" borderId="0">
      <alignment horizontal="center"/>
    </xf>
    <xf numFmtId="0" fontId="31" fillId="0" borderId="0"/>
    <xf numFmtId="0" fontId="15" fillId="0" borderId="0"/>
    <xf numFmtId="0" fontId="24" fillId="0" borderId="0"/>
    <xf numFmtId="9" fontId="15" fillId="0" borderId="0" applyFont="0" applyFill="0" applyBorder="0" applyAlignment="0" applyProtection="0"/>
    <xf numFmtId="0" fontId="40"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558">
    <xf numFmtId="0" fontId="0" fillId="0" borderId="0" xfId="0"/>
    <xf numFmtId="0" fontId="20" fillId="0" borderId="0" xfId="9" applyAlignment="1" applyProtection="1"/>
    <xf numFmtId="0" fontId="0" fillId="0" borderId="0" xfId="0" applyProtection="1"/>
    <xf numFmtId="0" fontId="24" fillId="0" borderId="0" xfId="13"/>
    <xf numFmtId="0" fontId="24" fillId="0" borderId="0" xfId="13" applyBorder="1"/>
    <xf numFmtId="0" fontId="24" fillId="0" borderId="0" xfId="13" applyFill="1" applyBorder="1"/>
    <xf numFmtId="0" fontId="24" fillId="5" borderId="28" xfId="13" applyFill="1" applyBorder="1" applyAlignment="1">
      <alignment horizontal="left" wrapText="1"/>
    </xf>
    <xf numFmtId="0" fontId="24" fillId="5" borderId="13" xfId="13" applyFill="1" applyBorder="1" applyAlignment="1">
      <alignment horizontal="left" wrapText="1"/>
    </xf>
    <xf numFmtId="0" fontId="24" fillId="6" borderId="4" xfId="13" applyFill="1" applyBorder="1"/>
    <xf numFmtId="0" fontId="25" fillId="0" borderId="0" xfId="13" applyFont="1" applyAlignment="1">
      <alignment horizontal="left" wrapText="1"/>
    </xf>
    <xf numFmtId="0" fontId="24" fillId="0" borderId="6" xfId="13" applyBorder="1"/>
    <xf numFmtId="168" fontId="24" fillId="0" borderId="7" xfId="4" applyNumberFormat="1" applyBorder="1"/>
    <xf numFmtId="168" fontId="24" fillId="0" borderId="8" xfId="4" applyNumberFormat="1" applyBorder="1"/>
    <xf numFmtId="0" fontId="24" fillId="0" borderId="9" xfId="13" applyBorder="1"/>
    <xf numFmtId="9" fontId="24" fillId="0" borderId="8" xfId="13" applyNumberFormat="1" applyBorder="1"/>
    <xf numFmtId="0" fontId="26" fillId="0" borderId="0" xfId="13" applyFont="1" applyAlignment="1">
      <alignment vertical="top" wrapText="1"/>
    </xf>
    <xf numFmtId="168" fontId="24" fillId="0" borderId="5" xfId="4" applyNumberFormat="1" applyBorder="1"/>
    <xf numFmtId="168" fontId="24" fillId="0" borderId="10" xfId="4" applyNumberFormat="1" applyBorder="1"/>
    <xf numFmtId="0" fontId="24" fillId="0" borderId="10" xfId="13" applyBorder="1"/>
    <xf numFmtId="0" fontId="27" fillId="0" borderId="0" xfId="13" applyFont="1" applyAlignment="1">
      <alignment horizontal="left" vertical="top" wrapText="1"/>
    </xf>
    <xf numFmtId="168" fontId="24" fillId="0" borderId="29" xfId="4" applyNumberFormat="1" applyBorder="1"/>
    <xf numFmtId="168" fontId="24" fillId="7" borderId="30" xfId="4" applyNumberFormat="1" applyFill="1" applyBorder="1"/>
    <xf numFmtId="0" fontId="24" fillId="0" borderId="24" xfId="13" applyBorder="1"/>
    <xf numFmtId="165" fontId="24" fillId="0" borderId="26" xfId="13" applyNumberFormat="1" applyBorder="1"/>
    <xf numFmtId="165" fontId="24" fillId="0" borderId="31" xfId="13" applyNumberFormat="1" applyBorder="1"/>
    <xf numFmtId="165" fontId="24" fillId="0" borderId="0" xfId="13" applyNumberFormat="1"/>
    <xf numFmtId="0" fontId="24" fillId="0" borderId="30" xfId="13" applyBorder="1"/>
    <xf numFmtId="0" fontId="24" fillId="0" borderId="3" xfId="13" applyBorder="1"/>
    <xf numFmtId="43" fontId="17" fillId="6" borderId="30" xfId="1" applyNumberFormat="1" applyFont="1" applyFill="1" applyBorder="1"/>
    <xf numFmtId="2" fontId="24" fillId="0" borderId="0" xfId="13" applyNumberFormat="1"/>
    <xf numFmtId="0" fontId="24" fillId="6" borderId="32" xfId="13" applyFill="1" applyBorder="1" applyAlignment="1">
      <alignment horizontal="center"/>
    </xf>
    <xf numFmtId="0" fontId="24" fillId="0" borderId="0" xfId="13" applyAlignment="1">
      <alignment horizontal="center"/>
    </xf>
    <xf numFmtId="0" fontId="24" fillId="8" borderId="5" xfId="13" applyFill="1" applyBorder="1" applyAlignment="1">
      <alignment horizontal="center" wrapText="1"/>
    </xf>
    <xf numFmtId="0" fontId="24" fillId="0" borderId="5" xfId="13" applyBorder="1" applyAlignment="1">
      <alignment horizontal="center"/>
    </xf>
    <xf numFmtId="0" fontId="24" fillId="0" borderId="0" xfId="13" applyBorder="1" applyAlignment="1">
      <alignment horizontal="center"/>
    </xf>
    <xf numFmtId="0" fontId="17" fillId="8" borderId="5" xfId="13" applyFont="1" applyFill="1" applyBorder="1" applyAlignment="1">
      <alignment horizontal="center"/>
    </xf>
    <xf numFmtId="0" fontId="17" fillId="4" borderId="5" xfId="13" applyFont="1" applyFill="1" applyBorder="1" applyAlignment="1">
      <alignment horizontal="center" wrapText="1"/>
    </xf>
    <xf numFmtId="0" fontId="24" fillId="0" borderId="15" xfId="13" applyBorder="1" applyAlignment="1">
      <alignment horizontal="center"/>
    </xf>
    <xf numFmtId="0" fontId="17" fillId="4" borderId="15" xfId="13" applyFont="1" applyFill="1" applyBorder="1" applyAlignment="1">
      <alignment wrapText="1"/>
    </xf>
    <xf numFmtId="0" fontId="17" fillId="4" borderId="5" xfId="13" applyFont="1" applyFill="1" applyBorder="1" applyAlignment="1">
      <alignment wrapText="1"/>
    </xf>
    <xf numFmtId="0" fontId="17" fillId="4" borderId="17" xfId="13" applyFont="1" applyFill="1" applyBorder="1" applyAlignment="1">
      <alignment horizontal="center" wrapText="1"/>
    </xf>
    <xf numFmtId="0" fontId="24" fillId="0" borderId="5" xfId="13" applyBorder="1"/>
    <xf numFmtId="9" fontId="24" fillId="0" borderId="5" xfId="14" applyFont="1" applyBorder="1" applyAlignment="1">
      <alignment horizontal="center"/>
    </xf>
    <xf numFmtId="167" fontId="24" fillId="0" borderId="5" xfId="13" applyNumberFormat="1" applyBorder="1" applyAlignment="1">
      <alignment horizontal="center"/>
    </xf>
    <xf numFmtId="166" fontId="24" fillId="0" borderId="5" xfId="13" applyNumberFormat="1" applyBorder="1" applyAlignment="1">
      <alignment horizontal="center"/>
    </xf>
    <xf numFmtId="0" fontId="24" fillId="0" borderId="5" xfId="13" applyBorder="1" applyAlignment="1">
      <alignment horizontal="left"/>
    </xf>
    <xf numFmtId="0" fontId="24" fillId="0" borderId="5" xfId="13" applyFill="1" applyBorder="1" applyAlignment="1">
      <alignment horizontal="center"/>
    </xf>
    <xf numFmtId="167" fontId="24" fillId="0" borderId="5" xfId="13" applyNumberFormat="1" applyFill="1" applyBorder="1" applyAlignment="1">
      <alignment horizontal="center"/>
    </xf>
    <xf numFmtId="166" fontId="24" fillId="0" borderId="5" xfId="13" applyNumberFormat="1" applyFill="1" applyBorder="1" applyAlignment="1">
      <alignment horizontal="center"/>
    </xf>
    <xf numFmtId="0" fontId="17" fillId="7" borderId="33" xfId="13" applyFont="1" applyFill="1" applyBorder="1" applyAlignment="1">
      <alignment wrapText="1"/>
    </xf>
    <xf numFmtId="0" fontId="24" fillId="0" borderId="0" xfId="13" applyFont="1" applyBorder="1"/>
    <xf numFmtId="0" fontId="17" fillId="0" borderId="0" xfId="13" applyFont="1"/>
    <xf numFmtId="0" fontId="21" fillId="0" borderId="0" xfId="13" applyFont="1" applyBorder="1"/>
    <xf numFmtId="0" fontId="21" fillId="0" borderId="0" xfId="13" applyFont="1"/>
    <xf numFmtId="0" fontId="19" fillId="0" borderId="0" xfId="13" applyFont="1"/>
    <xf numFmtId="0" fontId="24" fillId="0" borderId="9" xfId="13" applyFont="1" applyBorder="1"/>
    <xf numFmtId="165" fontId="24" fillId="0" borderId="0" xfId="1" applyNumberFormat="1" applyFont="1"/>
    <xf numFmtId="1" fontId="24" fillId="0" borderId="0" xfId="13" applyNumberFormat="1"/>
    <xf numFmtId="0" fontId="24" fillId="0" borderId="0" xfId="13" applyFont="1"/>
    <xf numFmtId="168" fontId="24" fillId="0" borderId="0" xfId="13" applyNumberFormat="1"/>
    <xf numFmtId="0" fontId="24" fillId="6" borderId="23" xfId="13" applyFill="1" applyBorder="1" applyAlignment="1" applyProtection="1">
      <alignment horizontal="center"/>
      <protection locked="0"/>
    </xf>
    <xf numFmtId="0" fontId="21" fillId="0" borderId="5" xfId="0" applyFont="1" applyBorder="1"/>
    <xf numFmtId="2" fontId="21" fillId="0" borderId="7" xfId="0" applyNumberFormat="1" applyFont="1" applyBorder="1" applyAlignment="1">
      <alignment horizontal="left"/>
    </xf>
    <xf numFmtId="0" fontId="18" fillId="6" borderId="5" xfId="0" applyFont="1" applyFill="1" applyBorder="1" applyAlignment="1">
      <alignment wrapText="1"/>
    </xf>
    <xf numFmtId="0" fontId="0" fillId="0" borderId="0" xfId="0" applyAlignment="1">
      <alignment wrapText="1"/>
    </xf>
    <xf numFmtId="0" fontId="19" fillId="0" borderId="5" xfId="0" applyFont="1" applyBorder="1" applyAlignment="1">
      <alignment horizontal="center" vertical="center"/>
    </xf>
    <xf numFmtId="0" fontId="19" fillId="0" borderId="5" xfId="0" applyFont="1" applyBorder="1" applyAlignment="1">
      <alignment horizontal="center" wrapText="1"/>
    </xf>
    <xf numFmtId="0" fontId="19" fillId="0" borderId="5" xfId="0" applyFont="1" applyBorder="1" applyAlignment="1">
      <alignment horizontal="center" vertical="center" wrapText="1"/>
    </xf>
    <xf numFmtId="14" fontId="19" fillId="0" borderId="5" xfId="0" applyNumberFormat="1" applyFont="1" applyBorder="1" applyAlignment="1">
      <alignment horizontal="center" vertical="center" wrapText="1"/>
    </xf>
    <xf numFmtId="0" fontId="19" fillId="0" borderId="5" xfId="0" applyFont="1" applyBorder="1" applyAlignment="1">
      <alignment horizontal="left" vertical="center" wrapText="1"/>
    </xf>
    <xf numFmtId="0" fontId="0" fillId="0" borderId="5" xfId="0" applyBorder="1"/>
    <xf numFmtId="0" fontId="16" fillId="0" borderId="0" xfId="0" applyFont="1"/>
    <xf numFmtId="4" fontId="16" fillId="0" borderId="0" xfId="0" applyNumberFormat="1" applyFont="1"/>
    <xf numFmtId="4" fontId="0" fillId="0" borderId="0" xfId="0" applyNumberFormat="1"/>
    <xf numFmtId="9" fontId="0" fillId="0" borderId="0" xfId="0" applyNumberFormat="1" applyProtection="1"/>
    <xf numFmtId="170" fontId="0" fillId="0" borderId="0" xfId="0" applyNumberFormat="1" applyProtection="1"/>
    <xf numFmtId="4" fontId="0" fillId="0" borderId="0" xfId="0" applyNumberFormat="1" applyProtection="1"/>
    <xf numFmtId="0" fontId="0" fillId="0" borderId="0" xfId="0" applyAlignment="1" applyProtection="1">
      <alignment horizontal="right"/>
    </xf>
    <xf numFmtId="3" fontId="0" fillId="0" borderId="0" xfId="0" applyNumberFormat="1" applyProtection="1"/>
    <xf numFmtId="0" fontId="24" fillId="0" borderId="0" xfId="13" applyFont="1" applyBorder="1" applyAlignment="1">
      <alignment horizontal="left"/>
    </xf>
    <xf numFmtId="0" fontId="31" fillId="0" borderId="0" xfId="11"/>
    <xf numFmtId="0" fontId="31" fillId="0" borderId="0" xfId="11" applyAlignment="1"/>
    <xf numFmtId="170" fontId="24" fillId="0" borderId="0" xfId="13" applyNumberFormat="1"/>
    <xf numFmtId="0" fontId="29" fillId="0" borderId="0" xfId="11" applyFont="1" applyBorder="1" applyAlignment="1">
      <alignment vertical="top"/>
    </xf>
    <xf numFmtId="0" fontId="29" fillId="0" borderId="0" xfId="11" applyFont="1" applyBorder="1" applyAlignment="1">
      <alignment vertical="top" wrapText="1"/>
    </xf>
    <xf numFmtId="0" fontId="29" fillId="0" borderId="0" xfId="11" applyFont="1" applyBorder="1" applyAlignment="1">
      <alignment horizontal="right" vertical="top"/>
    </xf>
    <xf numFmtId="0" fontId="28" fillId="7" borderId="0" xfId="11" applyFont="1" applyFill="1" applyBorder="1" applyAlignment="1">
      <alignment vertical="top"/>
    </xf>
    <xf numFmtId="0" fontId="0" fillId="0" borderId="0" xfId="0" applyBorder="1"/>
    <xf numFmtId="0" fontId="29" fillId="7" borderId="0" xfId="11" applyFont="1" applyFill="1" applyBorder="1" applyAlignment="1">
      <alignment vertical="top"/>
    </xf>
    <xf numFmtId="0" fontId="28" fillId="0" borderId="0" xfId="11" applyFont="1" applyFill="1" applyBorder="1" applyAlignment="1">
      <alignment vertical="top"/>
    </xf>
    <xf numFmtId="0" fontId="29" fillId="0" borderId="0" xfId="11" applyFont="1" applyFill="1" applyBorder="1" applyAlignment="1">
      <alignment vertical="top"/>
    </xf>
    <xf numFmtId="0" fontId="0" fillId="0" borderId="0" xfId="0" applyFill="1" applyBorder="1"/>
    <xf numFmtId="0" fontId="29" fillId="0" borderId="0" xfId="11" applyFont="1" applyFill="1" applyBorder="1" applyAlignment="1">
      <alignment horizontal="center" vertical="top"/>
    </xf>
    <xf numFmtId="0" fontId="21" fillId="0" borderId="15" xfId="13" applyFont="1" applyBorder="1" applyAlignment="1">
      <alignment horizontal="center"/>
    </xf>
    <xf numFmtId="0" fontId="21" fillId="6" borderId="32" xfId="13" applyFont="1" applyFill="1" applyBorder="1" applyAlignment="1">
      <alignment horizontal="center"/>
    </xf>
    <xf numFmtId="0" fontId="21" fillId="3" borderId="0" xfId="0" applyFont="1" applyFill="1" applyBorder="1" applyAlignment="1" applyProtection="1">
      <alignment horizontal="right"/>
    </xf>
    <xf numFmtId="0" fontId="21" fillId="0" borderId="0" xfId="13" applyFont="1" applyBorder="1" applyAlignment="1">
      <alignment horizontal="left"/>
    </xf>
    <xf numFmtId="0" fontId="29" fillId="7" borderId="5" xfId="11" applyFont="1" applyFill="1" applyBorder="1" applyAlignment="1" applyProtection="1">
      <alignment horizontal="left" vertical="top"/>
      <protection locked="0"/>
    </xf>
    <xf numFmtId="7" fontId="29" fillId="7" borderId="5" xfId="2" applyFont="1" applyFill="1" applyBorder="1" applyAlignment="1" applyProtection="1">
      <alignment horizontal="left"/>
      <protection locked="0"/>
    </xf>
    <xf numFmtId="0" fontId="15" fillId="0" borderId="0" xfId="0" applyFont="1" applyBorder="1"/>
    <xf numFmtId="0" fontId="29" fillId="0" borderId="0" xfId="11" applyFont="1" applyFill="1" applyBorder="1" applyAlignment="1">
      <alignment horizontal="right" vertical="top"/>
    </xf>
    <xf numFmtId="170" fontId="0" fillId="0" borderId="0" xfId="0" applyNumberFormat="1" applyBorder="1"/>
    <xf numFmtId="165" fontId="0" fillId="0" borderId="0" xfId="1" applyNumberFormat="1" applyFont="1" applyBorder="1"/>
    <xf numFmtId="9" fontId="0" fillId="0" borderId="0" xfId="14" applyFont="1" applyBorder="1" applyAlignment="1">
      <alignment horizontal="left"/>
    </xf>
    <xf numFmtId="0" fontId="15" fillId="0" borderId="0" xfId="12" applyBorder="1"/>
    <xf numFmtId="0" fontId="15" fillId="0" borderId="0" xfId="12" applyFill="1" applyBorder="1"/>
    <xf numFmtId="0" fontId="0" fillId="0" borderId="20" xfId="0" applyBorder="1"/>
    <xf numFmtId="0" fontId="29" fillId="0" borderId="20" xfId="11" applyFont="1" applyBorder="1" applyAlignment="1">
      <alignment horizontal="right" vertical="top"/>
    </xf>
    <xf numFmtId="9" fontId="0" fillId="0" borderId="20" xfId="14" applyFont="1" applyBorder="1" applyAlignment="1">
      <alignment horizontal="left"/>
    </xf>
    <xf numFmtId="0" fontId="29" fillId="0" borderId="20" xfId="11" applyFont="1" applyFill="1" applyBorder="1" applyAlignment="1">
      <alignment horizontal="right" vertical="top"/>
    </xf>
    <xf numFmtId="170" fontId="0" fillId="0" borderId="20" xfId="0" applyNumberFormat="1" applyBorder="1"/>
    <xf numFmtId="0" fontId="0" fillId="0" borderId="0" xfId="0" applyAlignment="1" applyProtection="1"/>
    <xf numFmtId="0" fontId="16" fillId="0" borderId="0" xfId="0" applyFont="1" applyAlignment="1">
      <alignment horizontal="centerContinuous"/>
    </xf>
    <xf numFmtId="0" fontId="24" fillId="5" borderId="14" xfId="13" applyFill="1" applyBorder="1" applyAlignment="1">
      <alignment horizontal="left" wrapText="1"/>
    </xf>
    <xf numFmtId="0" fontId="24" fillId="0" borderId="5" xfId="13" applyBorder="1" applyAlignment="1">
      <alignment horizontal="centerContinuous"/>
    </xf>
    <xf numFmtId="0" fontId="24" fillId="0" borderId="7" xfId="13" applyBorder="1" applyAlignment="1">
      <alignment horizontal="centerContinuous"/>
    </xf>
    <xf numFmtId="0" fontId="17" fillId="4" borderId="18" xfId="13" applyFont="1" applyFill="1" applyBorder="1" applyAlignment="1">
      <alignment horizontal="centerContinuous"/>
    </xf>
    <xf numFmtId="0" fontId="17" fillId="4" borderId="20" xfId="13" applyFont="1" applyFill="1" applyBorder="1" applyAlignment="1">
      <alignment horizontal="centerContinuous"/>
    </xf>
    <xf numFmtId="0" fontId="17" fillId="4" borderId="5" xfId="13" applyFont="1" applyFill="1" applyBorder="1" applyAlignment="1">
      <alignment horizontal="centerContinuous" wrapText="1"/>
    </xf>
    <xf numFmtId="0" fontId="16" fillId="0" borderId="20" xfId="0" applyFont="1" applyBorder="1"/>
    <xf numFmtId="0" fontId="23" fillId="7" borderId="5" xfId="11" applyFont="1" applyFill="1" applyBorder="1" applyAlignment="1" applyProtection="1">
      <alignment vertical="top"/>
      <protection locked="0"/>
    </xf>
    <xf numFmtId="0" fontId="25" fillId="7" borderId="5" xfId="11" applyFont="1" applyFill="1" applyBorder="1" applyAlignment="1" applyProtection="1">
      <alignment vertical="top"/>
      <protection locked="0"/>
    </xf>
    <xf numFmtId="0" fontId="29" fillId="10" borderId="5" xfId="2" applyNumberFormat="1" applyFont="1" applyFill="1" applyBorder="1" applyAlignment="1" applyProtection="1">
      <alignment horizontal="left"/>
      <protection locked="0"/>
    </xf>
    <xf numFmtId="1" fontId="29" fillId="10" borderId="5" xfId="1" applyNumberFormat="1" applyFont="1" applyFill="1" applyBorder="1" applyAlignment="1" applyProtection="1">
      <alignment horizontal="left"/>
      <protection locked="0"/>
    </xf>
    <xf numFmtId="14" fontId="29" fillId="10" borderId="5" xfId="2" applyNumberFormat="1" applyFont="1" applyFill="1" applyBorder="1" applyAlignment="1" applyProtection="1">
      <alignment horizontal="left"/>
      <protection locked="0"/>
    </xf>
    <xf numFmtId="8" fontId="29" fillId="10" borderId="5" xfId="2" applyNumberFormat="1" applyFont="1" applyFill="1" applyBorder="1" applyAlignment="1" applyProtection="1">
      <alignment horizontal="left"/>
      <protection locked="0"/>
    </xf>
    <xf numFmtId="0" fontId="23" fillId="0" borderId="0" xfId="11" applyFont="1" applyFill="1" applyBorder="1" applyAlignment="1">
      <alignment vertical="top"/>
    </xf>
    <xf numFmtId="0" fontId="33" fillId="9" borderId="5" xfId="11" applyFont="1" applyFill="1" applyBorder="1" applyAlignment="1" applyProtection="1">
      <alignment horizontal="left" vertical="top"/>
      <protection locked="0"/>
    </xf>
    <xf numFmtId="0" fontId="20" fillId="9" borderId="5" xfId="9" applyFill="1" applyBorder="1" applyAlignment="1" applyProtection="1">
      <alignment vertical="top"/>
      <protection locked="0"/>
    </xf>
    <xf numFmtId="0" fontId="33" fillId="9" borderId="5" xfId="11" applyFont="1" applyFill="1" applyBorder="1" applyAlignment="1" applyProtection="1">
      <alignment vertical="top"/>
      <protection locked="0"/>
    </xf>
    <xf numFmtId="0" fontId="33" fillId="9" borderId="5" xfId="3" applyNumberFormat="1" applyFont="1" applyFill="1" applyBorder="1" applyAlignment="1" applyProtection="1">
      <alignment horizontal="left"/>
      <protection locked="0"/>
    </xf>
    <xf numFmtId="0" fontId="25" fillId="0" borderId="0" xfId="11" applyFont="1" applyBorder="1" applyAlignment="1">
      <alignment horizontal="right" vertical="top"/>
    </xf>
    <xf numFmtId="0" fontId="37" fillId="0" borderId="0" xfId="0" applyFont="1"/>
    <xf numFmtId="0" fontId="15" fillId="0" borderId="0" xfId="0" applyFont="1" applyFill="1" applyBorder="1"/>
    <xf numFmtId="0" fontId="31" fillId="0" borderId="0" xfId="11" applyAlignment="1">
      <alignment vertical="center"/>
    </xf>
    <xf numFmtId="0" fontId="31" fillId="0" borderId="2" xfId="11" applyBorder="1" applyAlignment="1">
      <alignment vertical="center"/>
    </xf>
    <xf numFmtId="0" fontId="38" fillId="11" borderId="5" xfId="0" applyNumberFormat="1" applyFont="1" applyFill="1" applyBorder="1" applyAlignment="1">
      <alignment horizontal="center" wrapText="1"/>
    </xf>
    <xf numFmtId="165" fontId="38" fillId="11" borderId="5" xfId="1" applyNumberFormat="1" applyFont="1" applyFill="1" applyBorder="1" applyAlignment="1">
      <alignment horizontal="center" wrapText="1"/>
    </xf>
    <xf numFmtId="44" fontId="38" fillId="11" borderId="5" xfId="2" applyNumberFormat="1" applyFont="1" applyFill="1" applyBorder="1" applyAlignment="1">
      <alignment horizontal="center" wrapText="1"/>
    </xf>
    <xf numFmtId="0" fontId="39" fillId="0" borderId="5" xfId="0" applyNumberFormat="1" applyFont="1" applyFill="1" applyBorder="1" applyAlignment="1">
      <alignment wrapText="1"/>
    </xf>
    <xf numFmtId="171" fontId="39" fillId="0" borderId="5" xfId="0" applyNumberFormat="1" applyFont="1" applyFill="1" applyBorder="1" applyAlignment="1">
      <alignment wrapText="1"/>
    </xf>
    <xf numFmtId="0" fontId="39" fillId="12" borderId="5" xfId="0" applyNumberFormat="1" applyFont="1" applyFill="1" applyBorder="1" applyAlignment="1">
      <alignment wrapText="1"/>
    </xf>
    <xf numFmtId="43" fontId="39" fillId="0" borderId="0" xfId="1" applyFont="1" applyFill="1" applyBorder="1" applyAlignment="1"/>
    <xf numFmtId="0" fontId="39" fillId="0" borderId="0" xfId="0" applyFont="1" applyFill="1" applyBorder="1" applyAlignment="1"/>
    <xf numFmtId="0" fontId="39" fillId="0" borderId="0" xfId="0" applyNumberFormat="1" applyFont="1" applyFill="1" applyBorder="1" applyAlignment="1"/>
    <xf numFmtId="43" fontId="39" fillId="0" borderId="0" xfId="1" applyNumberFormat="1" applyFont="1" applyFill="1" applyBorder="1" applyAlignment="1"/>
    <xf numFmtId="44" fontId="39" fillId="0" borderId="0" xfId="2" applyNumberFormat="1" applyFont="1" applyFill="1" applyBorder="1" applyAlignment="1"/>
    <xf numFmtId="43" fontId="39" fillId="0" borderId="0" xfId="1" quotePrefix="1" applyNumberFormat="1" applyFont="1" applyFill="1" applyBorder="1" applyAlignment="1"/>
    <xf numFmtId="171" fontId="39" fillId="0" borderId="0" xfId="0" applyNumberFormat="1" applyFont="1" applyFill="1" applyBorder="1" applyAlignment="1"/>
    <xf numFmtId="171" fontId="39" fillId="0" borderId="0" xfId="1" applyNumberFormat="1" applyFont="1" applyFill="1" applyBorder="1" applyAlignment="1"/>
    <xf numFmtId="165" fontId="39" fillId="0" borderId="0" xfId="1" applyNumberFormat="1" applyFont="1" applyFill="1" applyBorder="1" applyAlignment="1"/>
    <xf numFmtId="0" fontId="39" fillId="0" borderId="0" xfId="0" applyFont="1" applyFill="1" applyBorder="1"/>
    <xf numFmtId="172" fontId="39" fillId="0" borderId="0" xfId="1" applyNumberFormat="1" applyFont="1" applyFill="1" applyBorder="1" applyAlignment="1">
      <alignment vertical="top"/>
    </xf>
    <xf numFmtId="0" fontId="39" fillId="0" borderId="0" xfId="0" quotePrefix="1" applyFont="1" applyFill="1" applyBorder="1" applyAlignment="1"/>
    <xf numFmtId="0" fontId="38" fillId="11" borderId="0" xfId="0" applyNumberFormat="1" applyFont="1" applyFill="1" applyBorder="1" applyAlignment="1">
      <alignment horizontal="center" wrapText="1"/>
    </xf>
    <xf numFmtId="165" fontId="38" fillId="11" borderId="0" xfId="1" applyNumberFormat="1" applyFont="1" applyFill="1" applyBorder="1" applyAlignment="1">
      <alignment horizontal="center" wrapText="1"/>
    </xf>
    <xf numFmtId="44" fontId="38" fillId="11" borderId="0" xfId="2" applyNumberFormat="1" applyFont="1" applyFill="1" applyBorder="1" applyAlignment="1">
      <alignment horizontal="center" wrapText="1"/>
    </xf>
    <xf numFmtId="0" fontId="39" fillId="0" borderId="0" xfId="0" applyNumberFormat="1" applyFont="1" applyFill="1" applyBorder="1" applyAlignment="1">
      <alignment wrapText="1"/>
    </xf>
    <xf numFmtId="171" fontId="39" fillId="0" borderId="0" xfId="0" applyNumberFormat="1" applyFont="1" applyFill="1" applyBorder="1" applyAlignment="1">
      <alignment wrapText="1"/>
    </xf>
    <xf numFmtId="0" fontId="39" fillId="12" borderId="0" xfId="0" applyNumberFormat="1" applyFont="1" applyFill="1" applyBorder="1" applyAlignment="1">
      <alignment wrapText="1"/>
    </xf>
    <xf numFmtId="0" fontId="33" fillId="0" borderId="0" xfId="11" applyFont="1" applyBorder="1" applyAlignment="1">
      <alignment horizontal="left" vertical="center" wrapText="1"/>
    </xf>
    <xf numFmtId="43" fontId="0" fillId="0" borderId="0" xfId="0" applyNumberFormat="1"/>
    <xf numFmtId="0" fontId="14" fillId="0" borderId="0" xfId="11" applyFont="1"/>
    <xf numFmtId="0" fontId="31" fillId="0" borderId="0" xfId="11" applyBorder="1" applyAlignment="1"/>
    <xf numFmtId="0" fontId="31" fillId="0" borderId="0" xfId="11" applyBorder="1" applyAlignment="1">
      <alignment horizontal="center"/>
    </xf>
    <xf numFmtId="0" fontId="31" fillId="0" borderId="0" xfId="11" applyBorder="1"/>
    <xf numFmtId="0" fontId="31" fillId="0" borderId="0" xfId="11" applyBorder="1" applyAlignment="1">
      <alignment vertical="center"/>
    </xf>
    <xf numFmtId="0" fontId="33" fillId="13" borderId="52" xfId="11" applyFont="1" applyFill="1" applyBorder="1" applyAlignment="1">
      <alignment vertical="top" wrapText="1"/>
    </xf>
    <xf numFmtId="0" fontId="33" fillId="13" borderId="39" xfId="11" applyFont="1" applyFill="1" applyBorder="1" applyAlignment="1">
      <alignment vertical="top"/>
    </xf>
    <xf numFmtId="0" fontId="33" fillId="13" borderId="25" xfId="11" applyFont="1" applyFill="1" applyBorder="1" applyAlignment="1">
      <alignment horizontal="left"/>
    </xf>
    <xf numFmtId="0" fontId="33" fillId="13" borderId="41" xfId="11" applyFont="1" applyFill="1" applyBorder="1" applyAlignment="1">
      <alignment horizontal="left"/>
    </xf>
    <xf numFmtId="0" fontId="33" fillId="0" borderId="0" xfId="11" applyFont="1" applyBorder="1" applyAlignment="1">
      <alignment horizontal="center" vertical="center"/>
    </xf>
    <xf numFmtId="0" fontId="36" fillId="0" borderId="0" xfId="11" applyFont="1" applyFill="1" applyBorder="1" applyAlignment="1"/>
    <xf numFmtId="0" fontId="32" fillId="0" borderId="40" xfId="11" applyFont="1" applyFill="1" applyBorder="1" applyAlignment="1">
      <alignment horizontal="left" vertical="center"/>
    </xf>
    <xf numFmtId="0" fontId="32" fillId="0" borderId="21" xfId="11" applyFont="1" applyFill="1" applyBorder="1" applyAlignment="1">
      <alignment vertical="center"/>
    </xf>
    <xf numFmtId="0" fontId="32" fillId="0" borderId="50" xfId="11" applyFont="1" applyFill="1" applyBorder="1" applyAlignment="1">
      <alignment vertical="center"/>
    </xf>
    <xf numFmtId="0" fontId="32" fillId="0" borderId="57" xfId="11" applyFont="1" applyFill="1" applyBorder="1" applyAlignment="1">
      <alignment vertical="center"/>
    </xf>
    <xf numFmtId="0" fontId="32" fillId="0" borderId="40" xfId="11" applyFont="1" applyFill="1" applyBorder="1" applyAlignment="1">
      <alignment vertical="center"/>
    </xf>
    <xf numFmtId="0" fontId="33" fillId="0" borderId="0" xfId="11" applyFont="1" applyBorder="1" applyAlignment="1">
      <alignment vertical="center"/>
    </xf>
    <xf numFmtId="0" fontId="33" fillId="0" borderId="36" xfId="11" applyFont="1" applyBorder="1" applyAlignment="1">
      <alignment vertical="center"/>
    </xf>
    <xf numFmtId="0" fontId="33" fillId="0" borderId="36" xfId="11" applyFont="1" applyBorder="1" applyAlignment="1">
      <alignment horizontal="center" vertical="center"/>
    </xf>
    <xf numFmtId="9" fontId="33" fillId="0" borderId="5" xfId="11" applyNumberFormat="1" applyFont="1" applyBorder="1" applyAlignment="1">
      <alignment horizontal="center" vertical="center"/>
    </xf>
    <xf numFmtId="0" fontId="13" fillId="0" borderId="5" xfId="11" applyFont="1" applyBorder="1" applyAlignment="1">
      <alignment horizontal="center" vertical="center"/>
    </xf>
    <xf numFmtId="169" fontId="32" fillId="0" borderId="5" xfId="11" applyNumberFormat="1" applyFont="1" applyBorder="1" applyAlignment="1">
      <alignment horizontal="right" vertical="center" wrapText="1"/>
    </xf>
    <xf numFmtId="0" fontId="33" fillId="0" borderId="8" xfId="11" applyFont="1" applyBorder="1" applyAlignment="1">
      <alignment vertical="center"/>
    </xf>
    <xf numFmtId="0" fontId="31" fillId="0" borderId="11" xfId="11" applyBorder="1" applyAlignment="1">
      <alignment vertical="center"/>
    </xf>
    <xf numFmtId="0" fontId="41" fillId="15" borderId="0" xfId="22" applyFont="1" applyFill="1" applyAlignment="1">
      <alignment horizontal="center"/>
    </xf>
    <xf numFmtId="165" fontId="41" fillId="0" borderId="0" xfId="20" applyNumberFormat="1" applyFont="1" applyFill="1" applyBorder="1"/>
    <xf numFmtId="9" fontId="41" fillId="0" borderId="0" xfId="21" applyFont="1" applyFill="1" applyBorder="1"/>
    <xf numFmtId="165" fontId="41" fillId="0" borderId="0" xfId="19" applyNumberFormat="1" applyFont="1" applyFill="1" applyBorder="1"/>
    <xf numFmtId="0" fontId="41" fillId="0" borderId="0" xfId="19" applyFont="1"/>
    <xf numFmtId="43" fontId="41" fillId="0" borderId="0" xfId="19" applyNumberFormat="1" applyFont="1"/>
    <xf numFmtId="165" fontId="41" fillId="0" borderId="17" xfId="19" applyNumberFormat="1" applyFont="1" applyBorder="1"/>
    <xf numFmtId="0" fontId="44" fillId="0" borderId="0" xfId="19" applyFont="1"/>
    <xf numFmtId="0" fontId="12" fillId="0" borderId="0" xfId="19" applyFont="1"/>
    <xf numFmtId="0" fontId="12" fillId="9" borderId="5" xfId="19" applyNumberFormat="1" applyFont="1" applyFill="1" applyBorder="1"/>
    <xf numFmtId="9" fontId="12" fillId="9" borderId="5" xfId="19" applyNumberFormat="1" applyFont="1" applyFill="1" applyBorder="1"/>
    <xf numFmtId="0" fontId="12" fillId="0" borderId="0" xfId="19" applyFont="1" applyFill="1" applyBorder="1"/>
    <xf numFmtId="0" fontId="12" fillId="0" borderId="5" xfId="19" applyFont="1" applyFill="1" applyBorder="1"/>
    <xf numFmtId="1" fontId="12" fillId="0" borderId="0" xfId="19" applyNumberFormat="1" applyFont="1" applyFill="1" applyBorder="1"/>
    <xf numFmtId="0" fontId="12" fillId="0" borderId="22" xfId="19" applyFont="1" applyBorder="1"/>
    <xf numFmtId="0" fontId="12" fillId="0" borderId="59" xfId="19" applyFont="1" applyBorder="1"/>
    <xf numFmtId="0" fontId="12" fillId="0" borderId="0" xfId="19" applyFont="1" applyBorder="1"/>
    <xf numFmtId="0" fontId="12" fillId="0" borderId="0" xfId="19" applyFont="1" applyAlignment="1">
      <alignment horizontal="center" wrapText="1"/>
    </xf>
    <xf numFmtId="0" fontId="12" fillId="0" borderId="0" xfId="19" applyFont="1" applyAlignment="1">
      <alignment horizontal="right"/>
    </xf>
    <xf numFmtId="0" fontId="12" fillId="0" borderId="0" xfId="19" applyFont="1" applyFill="1" applyBorder="1" applyAlignment="1">
      <alignment horizontal="left"/>
    </xf>
    <xf numFmtId="0" fontId="12" fillId="0" borderId="0" xfId="19" applyFont="1" applyBorder="1" applyAlignment="1">
      <alignment horizontal="center" wrapText="1"/>
    </xf>
    <xf numFmtId="1" fontId="12" fillId="0" borderId="5" xfId="19" applyNumberFormat="1" applyFont="1" applyFill="1" applyBorder="1"/>
    <xf numFmtId="0" fontId="12" fillId="0" borderId="0" xfId="19" applyFont="1" applyAlignment="1">
      <alignment horizontal="left"/>
    </xf>
    <xf numFmtId="0" fontId="12" fillId="0" borderId="12" xfId="19" applyFont="1" applyBorder="1"/>
    <xf numFmtId="9" fontId="12" fillId="0" borderId="0" xfId="19" applyNumberFormat="1" applyFont="1" applyFill="1" applyBorder="1"/>
    <xf numFmtId="9" fontId="12" fillId="0" borderId="0" xfId="19" applyNumberFormat="1" applyFont="1"/>
    <xf numFmtId="0" fontId="12" fillId="0" borderId="0" xfId="19" applyFont="1" applyFill="1" applyBorder="1" applyAlignment="1">
      <alignment horizontal="center" wrapText="1"/>
    </xf>
    <xf numFmtId="174" fontId="12" fillId="0" borderId="0" xfId="19" applyNumberFormat="1" applyFont="1" applyFill="1" applyBorder="1"/>
    <xf numFmtId="43" fontId="12" fillId="0" borderId="0" xfId="19" applyNumberFormat="1" applyFont="1" applyFill="1" applyBorder="1"/>
    <xf numFmtId="165" fontId="12" fillId="0" borderId="0" xfId="19" applyNumberFormat="1" applyFont="1" applyFill="1" applyBorder="1"/>
    <xf numFmtId="165" fontId="43" fillId="0" borderId="0" xfId="20" applyNumberFormat="1" applyFont="1"/>
    <xf numFmtId="43" fontId="43" fillId="0" borderId="0" xfId="20" applyNumberFormat="1" applyFont="1" applyFill="1" applyBorder="1"/>
    <xf numFmtId="165" fontId="43" fillId="0" borderId="0" xfId="20" applyNumberFormat="1" applyFont="1" applyFill="1" applyBorder="1"/>
    <xf numFmtId="0" fontId="12" fillId="0" borderId="0" xfId="16" applyNumberFormat="1" applyFont="1" applyAlignment="1">
      <alignment horizontal="center"/>
    </xf>
    <xf numFmtId="0" fontId="43" fillId="0" borderId="0" xfId="0" applyFont="1"/>
    <xf numFmtId="0" fontId="43" fillId="0" borderId="0" xfId="0" applyFont="1" applyAlignment="1">
      <alignment horizontal="right"/>
    </xf>
    <xf numFmtId="0" fontId="43" fillId="0" borderId="0" xfId="0" applyFont="1" applyAlignment="1">
      <alignment horizontal="left"/>
    </xf>
    <xf numFmtId="0" fontId="42" fillId="0" borderId="0" xfId="0" applyFont="1"/>
    <xf numFmtId="0" fontId="43" fillId="0" borderId="0" xfId="0" pivotButton="1" applyFont="1"/>
    <xf numFmtId="0" fontId="41" fillId="15" borderId="0" xfId="0" applyFont="1" applyFill="1"/>
    <xf numFmtId="2" fontId="43" fillId="0" borderId="0" xfId="0" applyNumberFormat="1" applyFont="1"/>
    <xf numFmtId="0" fontId="43" fillId="0" borderId="0" xfId="0" applyNumberFormat="1" applyFont="1"/>
    <xf numFmtId="173" fontId="43" fillId="0" borderId="0" xfId="0" applyNumberFormat="1" applyFont="1" applyAlignment="1">
      <alignment horizontal="center"/>
    </xf>
    <xf numFmtId="2" fontId="43" fillId="0" borderId="0" xfId="0" applyNumberFormat="1" applyFont="1" applyAlignment="1">
      <alignment horizontal="center"/>
    </xf>
    <xf numFmtId="0" fontId="41" fillId="15" borderId="60" xfId="0" applyFont="1" applyFill="1" applyBorder="1"/>
    <xf numFmtId="10" fontId="43" fillId="0" borderId="0" xfId="14" applyNumberFormat="1" applyFont="1"/>
    <xf numFmtId="0" fontId="41" fillId="15" borderId="61" xfId="0" applyNumberFormat="1" applyFont="1" applyFill="1" applyBorder="1"/>
    <xf numFmtId="49" fontId="42" fillId="4" borderId="54" xfId="15" applyNumberFormat="1" applyFont="1" applyFill="1" applyBorder="1"/>
    <xf numFmtId="43" fontId="43" fillId="0" borderId="0" xfId="15" applyNumberFormat="1" applyFont="1"/>
    <xf numFmtId="0" fontId="43" fillId="0" borderId="0" xfId="15" applyFont="1"/>
    <xf numFmtId="49" fontId="42" fillId="14" borderId="54" xfId="15" applyNumberFormat="1" applyFont="1" applyFill="1" applyBorder="1"/>
    <xf numFmtId="1" fontId="43" fillId="0" borderId="0" xfId="15" applyNumberFormat="1" applyFont="1"/>
    <xf numFmtId="2" fontId="43" fillId="14" borderId="0" xfId="15" applyNumberFormat="1" applyFont="1" applyFill="1"/>
    <xf numFmtId="0" fontId="43" fillId="14" borderId="0" xfId="15" applyFont="1" applyFill="1"/>
    <xf numFmtId="0" fontId="33" fillId="0" borderId="43" xfId="11" applyFont="1" applyBorder="1" applyAlignment="1">
      <alignment horizontal="left" vertical="center"/>
    </xf>
    <xf numFmtId="0" fontId="43" fillId="0" borderId="0" xfId="0" applyFont="1" applyFill="1"/>
    <xf numFmtId="0" fontId="42" fillId="0" borderId="21" xfId="0" applyFont="1" applyBorder="1"/>
    <xf numFmtId="0" fontId="43" fillId="0" borderId="22" xfId="0" applyFont="1" applyBorder="1"/>
    <xf numFmtId="0" fontId="43" fillId="0" borderId="59" xfId="0" applyFont="1" applyBorder="1"/>
    <xf numFmtId="0" fontId="43" fillId="0" borderId="2" xfId="0" applyFont="1" applyBorder="1"/>
    <xf numFmtId="0" fontId="43" fillId="0" borderId="0" xfId="0" applyFont="1" applyBorder="1"/>
    <xf numFmtId="0" fontId="43" fillId="0" borderId="36" xfId="0" applyFont="1" applyBorder="1"/>
    <xf numFmtId="0" fontId="43" fillId="0" borderId="11" xfId="0" applyFont="1" applyBorder="1"/>
    <xf numFmtId="0" fontId="43" fillId="0" borderId="12" xfId="0" applyFont="1" applyBorder="1"/>
    <xf numFmtId="0" fontId="43" fillId="0" borderId="41" xfId="0" applyFont="1" applyBorder="1"/>
    <xf numFmtId="0" fontId="43" fillId="0" borderId="40" xfId="0" applyFont="1" applyBorder="1"/>
    <xf numFmtId="0" fontId="43" fillId="0" borderId="43" xfId="0" applyFont="1" applyBorder="1"/>
    <xf numFmtId="0" fontId="43" fillId="0" borderId="44" xfId="0" applyFont="1" applyBorder="1"/>
    <xf numFmtId="0" fontId="43" fillId="0" borderId="34" xfId="0" applyFont="1" applyBorder="1"/>
    <xf numFmtId="0" fontId="43" fillId="0" borderId="35" xfId="0" applyFont="1" applyBorder="1"/>
    <xf numFmtId="0" fontId="43" fillId="0" borderId="18" xfId="0" applyFont="1" applyBorder="1"/>
    <xf numFmtId="0" fontId="43" fillId="0" borderId="20" xfId="0" applyFont="1" applyBorder="1"/>
    <xf numFmtId="0" fontId="43" fillId="0" borderId="45" xfId="0" applyFont="1" applyBorder="1"/>
    <xf numFmtId="0" fontId="43" fillId="0" borderId="42" xfId="0" applyFont="1" applyBorder="1"/>
    <xf numFmtId="0" fontId="43" fillId="0" borderId="52" xfId="0" applyFont="1" applyBorder="1"/>
    <xf numFmtId="0" fontId="43" fillId="0" borderId="49" xfId="0" applyFont="1" applyBorder="1"/>
    <xf numFmtId="0" fontId="43" fillId="0" borderId="38" xfId="0" applyFont="1" applyBorder="1"/>
    <xf numFmtId="0" fontId="43" fillId="0" borderId="53" xfId="0" applyFont="1" applyBorder="1"/>
    <xf numFmtId="0" fontId="43" fillId="0" borderId="0" xfId="0" applyFont="1" applyFill="1" applyBorder="1"/>
    <xf numFmtId="0" fontId="43" fillId="0" borderId="20" xfId="0" applyFont="1" applyFill="1" applyBorder="1" applyAlignment="1">
      <alignment horizontal="left"/>
    </xf>
    <xf numFmtId="0" fontId="42" fillId="0" borderId="0" xfId="0" applyFont="1" applyFill="1" applyBorder="1"/>
    <xf numFmtId="0" fontId="31" fillId="0" borderId="0" xfId="11" applyAlignment="1">
      <alignment vertical="top"/>
    </xf>
    <xf numFmtId="0" fontId="11" fillId="0" borderId="21" xfId="11" applyFont="1" applyBorder="1" applyAlignment="1">
      <alignment vertical="top"/>
    </xf>
    <xf numFmtId="0" fontId="11" fillId="0" borderId="22" xfId="11" applyFont="1" applyBorder="1" applyAlignment="1">
      <alignment vertical="top"/>
    </xf>
    <xf numFmtId="0" fontId="11" fillId="0" borderId="59" xfId="11" applyFont="1" applyBorder="1" applyAlignment="1">
      <alignment vertical="top"/>
    </xf>
    <xf numFmtId="0" fontId="11" fillId="0" borderId="2" xfId="11" applyFont="1" applyBorder="1" applyAlignment="1">
      <alignment vertical="top"/>
    </xf>
    <xf numFmtId="0" fontId="11" fillId="0" borderId="0" xfId="11" applyFont="1" applyBorder="1" applyAlignment="1">
      <alignment vertical="top"/>
    </xf>
    <xf numFmtId="0" fontId="11" fillId="0" borderId="36" xfId="11" applyFont="1" applyBorder="1" applyAlignment="1">
      <alignment vertical="top"/>
    </xf>
    <xf numFmtId="0" fontId="32" fillId="13" borderId="47" xfId="11" applyFont="1" applyFill="1" applyBorder="1" applyAlignment="1">
      <alignment horizontal="center"/>
    </xf>
    <xf numFmtId="0" fontId="32" fillId="13" borderId="48" xfId="11" applyFont="1" applyFill="1" applyBorder="1" applyAlignment="1">
      <alignment horizontal="center"/>
    </xf>
    <xf numFmtId="0" fontId="33" fillId="13" borderId="42" xfId="11" applyFont="1" applyFill="1" applyBorder="1" applyAlignment="1">
      <alignment horizontal="left" vertical="top"/>
    </xf>
    <xf numFmtId="0" fontId="33" fillId="13" borderId="43" xfId="11" applyFont="1" applyFill="1" applyBorder="1" applyAlignment="1">
      <alignment horizontal="left" vertical="top"/>
    </xf>
    <xf numFmtId="0" fontId="33" fillId="13" borderId="44" xfId="11" applyFont="1" applyFill="1" applyBorder="1" applyAlignment="1">
      <alignment horizontal="left" vertical="top"/>
    </xf>
    <xf numFmtId="0" fontId="33" fillId="13" borderId="2" xfId="11" applyFont="1" applyFill="1" applyBorder="1" applyAlignment="1">
      <alignment horizontal="left" vertical="top"/>
    </xf>
    <xf numFmtId="0" fontId="33" fillId="13" borderId="0" xfId="11" applyFont="1" applyFill="1" applyBorder="1" applyAlignment="1">
      <alignment horizontal="left" vertical="top"/>
    </xf>
    <xf numFmtId="0" fontId="33" fillId="13" borderId="35" xfId="11" applyFont="1" applyFill="1" applyBorder="1" applyAlignment="1">
      <alignment horizontal="left" vertical="top"/>
    </xf>
    <xf numFmtId="0" fontId="33" fillId="13" borderId="40" xfId="11" applyFont="1" applyFill="1" applyBorder="1" applyAlignment="1">
      <alignment horizontal="left" vertical="center"/>
    </xf>
    <xf numFmtId="0" fontId="33" fillId="13" borderId="43" xfId="11" applyFont="1" applyFill="1" applyBorder="1" applyAlignment="1">
      <alignment horizontal="left" vertical="center"/>
    </xf>
    <xf numFmtId="0" fontId="33" fillId="13" borderId="44" xfId="11" applyFont="1" applyFill="1" applyBorder="1" applyAlignment="1">
      <alignment horizontal="left" vertical="center"/>
    </xf>
    <xf numFmtId="0" fontId="33" fillId="13" borderId="16" xfId="11" applyFont="1" applyFill="1" applyBorder="1" applyAlignment="1">
      <alignment horizontal="center"/>
    </xf>
    <xf numFmtId="0" fontId="33" fillId="13" borderId="12" xfId="11" applyFont="1" applyFill="1" applyBorder="1" applyAlignment="1">
      <alignment horizontal="center"/>
    </xf>
    <xf numFmtId="0" fontId="33" fillId="13" borderId="53" xfId="11" applyFont="1" applyFill="1" applyBorder="1" applyAlignment="1">
      <alignment horizontal="center"/>
    </xf>
    <xf numFmtId="0" fontId="33" fillId="0" borderId="7" xfId="11" applyFont="1" applyFill="1" applyBorder="1" applyAlignment="1">
      <alignment horizontal="center" vertical="center"/>
    </xf>
    <xf numFmtId="0" fontId="31" fillId="0" borderId="11" xfId="11" applyBorder="1"/>
    <xf numFmtId="0" fontId="31" fillId="0" borderId="12" xfId="11" applyBorder="1"/>
    <xf numFmtId="0" fontId="31" fillId="0" borderId="41" xfId="11" applyBorder="1"/>
    <xf numFmtId="0" fontId="45" fillId="0" borderId="0" xfId="0" applyFont="1" applyAlignment="1"/>
    <xf numFmtId="0" fontId="10" fillId="0" borderId="9" xfId="11" applyFont="1" applyBorder="1" applyAlignment="1">
      <alignment horizontal="center"/>
    </xf>
    <xf numFmtId="0" fontId="33" fillId="9" borderId="5" xfId="11" applyFont="1" applyFill="1" applyBorder="1" applyAlignment="1">
      <alignment vertical="center"/>
    </xf>
    <xf numFmtId="9" fontId="33" fillId="9" borderId="24" xfId="14" applyFont="1" applyFill="1" applyBorder="1" applyAlignment="1">
      <alignment horizontal="center" vertical="center"/>
    </xf>
    <xf numFmtId="9" fontId="33" fillId="9" borderId="26" xfId="14" applyFont="1" applyFill="1" applyBorder="1" applyAlignment="1">
      <alignment horizontal="center" vertical="center"/>
    </xf>
    <xf numFmtId="9" fontId="33" fillId="0" borderId="26" xfId="14" applyFont="1" applyBorder="1" applyAlignment="1">
      <alignment horizontal="center" vertical="center" wrapText="1"/>
    </xf>
    <xf numFmtId="0" fontId="10" fillId="0" borderId="22" xfId="11" applyFont="1" applyBorder="1" applyAlignment="1">
      <alignment vertical="top"/>
    </xf>
    <xf numFmtId="0" fontId="33" fillId="0" borderId="5" xfId="11" applyFont="1" applyBorder="1" applyAlignment="1">
      <alignment vertical="center"/>
    </xf>
    <xf numFmtId="0" fontId="33" fillId="9" borderId="10" xfId="11" applyFont="1" applyFill="1" applyBorder="1" applyAlignment="1">
      <alignment vertical="center"/>
    </xf>
    <xf numFmtId="0" fontId="0" fillId="0" borderId="26" xfId="0" applyBorder="1"/>
    <xf numFmtId="0" fontId="33" fillId="9" borderId="31" xfId="11" applyFont="1" applyFill="1" applyBorder="1" applyAlignment="1">
      <alignment vertical="center"/>
    </xf>
    <xf numFmtId="0" fontId="33" fillId="0" borderId="10" xfId="11" applyFont="1" applyBorder="1" applyAlignment="1">
      <alignment vertical="center"/>
    </xf>
    <xf numFmtId="0" fontId="33" fillId="0" borderId="26" xfId="11" applyFont="1" applyBorder="1" applyAlignment="1">
      <alignment horizontal="right" vertical="center"/>
    </xf>
    <xf numFmtId="0" fontId="32" fillId="13" borderId="46" xfId="11" applyFont="1" applyFill="1" applyBorder="1" applyAlignment="1">
      <alignment horizontal="left"/>
    </xf>
    <xf numFmtId="0" fontId="33" fillId="0" borderId="8" xfId="11" applyFont="1" applyBorder="1" applyAlignment="1">
      <alignment horizontal="left" vertical="center"/>
    </xf>
    <xf numFmtId="169" fontId="33" fillId="0" borderId="7" xfId="11" applyNumberFormat="1" applyFont="1" applyBorder="1" applyAlignment="1">
      <alignment vertical="center" wrapText="1"/>
    </xf>
    <xf numFmtId="14" fontId="12" fillId="0" borderId="5" xfId="19" applyNumberFormat="1" applyFont="1" applyFill="1" applyBorder="1"/>
    <xf numFmtId="9" fontId="43" fillId="0" borderId="0" xfId="14" applyFont="1"/>
    <xf numFmtId="176" fontId="33" fillId="0" borderId="7" xfId="1" applyNumberFormat="1" applyFont="1" applyBorder="1" applyAlignment="1">
      <alignment horizontal="center" vertical="center" wrapText="1"/>
    </xf>
    <xf numFmtId="0" fontId="33" fillId="0" borderId="24" xfId="11" applyFont="1" applyBorder="1" applyAlignment="1">
      <alignment horizontal="left" vertical="top"/>
    </xf>
    <xf numFmtId="0" fontId="33" fillId="0" borderId="26" xfId="11" applyFont="1" applyFill="1" applyBorder="1" applyAlignment="1">
      <alignment horizontal="center" vertical="center"/>
    </xf>
    <xf numFmtId="0" fontId="9" fillId="0" borderId="0" xfId="19" applyFont="1" applyAlignment="1">
      <alignment horizontal="center" wrapText="1"/>
    </xf>
    <xf numFmtId="0" fontId="9" fillId="0" borderId="0" xfId="19" applyFont="1"/>
    <xf numFmtId="9" fontId="12" fillId="0" borderId="5" xfId="19" applyNumberFormat="1" applyFont="1" applyBorder="1"/>
    <xf numFmtId="2" fontId="12" fillId="0" borderId="5" xfId="19" applyNumberFormat="1" applyFont="1" applyBorder="1" applyAlignment="1">
      <alignment horizontal="center"/>
    </xf>
    <xf numFmtId="2" fontId="12" fillId="0" borderId="0" xfId="19" applyNumberFormat="1" applyFont="1" applyFill="1" applyBorder="1"/>
    <xf numFmtId="0" fontId="8" fillId="0" borderId="0" xfId="19" applyFont="1" applyAlignment="1">
      <alignment horizontal="center" wrapText="1"/>
    </xf>
    <xf numFmtId="165" fontId="41" fillId="0" borderId="30" xfId="20" applyNumberFormat="1" applyFont="1" applyBorder="1"/>
    <xf numFmtId="0" fontId="31" fillId="0" borderId="20" xfId="11" applyBorder="1"/>
    <xf numFmtId="0" fontId="31" fillId="0" borderId="45" xfId="11" applyBorder="1"/>
    <xf numFmtId="0" fontId="31" fillId="0" borderId="44" xfId="11" applyBorder="1"/>
    <xf numFmtId="0" fontId="31" fillId="0" borderId="35" xfId="11" applyBorder="1"/>
    <xf numFmtId="0" fontId="12" fillId="0" borderId="39" xfId="19" applyFont="1" applyFill="1" applyBorder="1"/>
    <xf numFmtId="2" fontId="43" fillId="0" borderId="5" xfId="14" applyNumberFormat="1" applyFont="1" applyBorder="1" applyAlignment="1">
      <alignment horizontal="center"/>
    </xf>
    <xf numFmtId="0" fontId="6" fillId="0" borderId="0" xfId="23"/>
    <xf numFmtId="2" fontId="6" fillId="0" borderId="0" xfId="23" applyNumberFormat="1"/>
    <xf numFmtId="49" fontId="6" fillId="0" borderId="0" xfId="23" applyNumberFormat="1"/>
    <xf numFmtId="173" fontId="6" fillId="0" borderId="0" xfId="23" applyNumberFormat="1"/>
    <xf numFmtId="0" fontId="32" fillId="0" borderId="42" xfId="11" applyFont="1" applyBorder="1" applyAlignment="1">
      <alignment horizontal="left" vertical="center"/>
    </xf>
    <xf numFmtId="0" fontId="32" fillId="0" borderId="43" xfId="11" applyFont="1" applyBorder="1" applyAlignment="1">
      <alignment horizontal="left" vertical="center"/>
    </xf>
    <xf numFmtId="0" fontId="36" fillId="0" borderId="12" xfId="11" applyFont="1" applyBorder="1" applyAlignment="1">
      <alignment horizontal="center"/>
    </xf>
    <xf numFmtId="0" fontId="33" fillId="0" borderId="0" xfId="11" applyFont="1" applyBorder="1" applyAlignment="1">
      <alignment horizontal="left" vertical="center"/>
    </xf>
    <xf numFmtId="0" fontId="12" fillId="0" borderId="5" xfId="19" applyFont="1" applyBorder="1"/>
    <xf numFmtId="174" fontId="12" fillId="0" borderId="5" xfId="19" applyNumberFormat="1" applyFont="1" applyBorder="1"/>
    <xf numFmtId="165" fontId="12" fillId="0" borderId="5" xfId="19" applyNumberFormat="1" applyFont="1" applyBorder="1"/>
    <xf numFmtId="0" fontId="12" fillId="0" borderId="0" xfId="19" applyFont="1" applyBorder="1" applyAlignment="1">
      <alignment horizontal="left" wrapText="1"/>
    </xf>
    <xf numFmtId="0" fontId="8" fillId="0" borderId="0" xfId="19" applyFont="1" applyBorder="1" applyAlignment="1">
      <alignment horizontal="left" wrapText="1"/>
    </xf>
    <xf numFmtId="0" fontId="12" fillId="0" borderId="36" xfId="19" applyFont="1" applyFill="1" applyBorder="1"/>
    <xf numFmtId="0" fontId="12" fillId="0" borderId="36" xfId="19" applyFont="1" applyFill="1" applyBorder="1" applyAlignment="1">
      <alignment horizontal="center" wrapText="1"/>
    </xf>
    <xf numFmtId="9" fontId="12" fillId="0" borderId="2" xfId="19" applyNumberFormat="1" applyFont="1" applyFill="1" applyBorder="1"/>
    <xf numFmtId="165" fontId="12" fillId="0" borderId="36" xfId="19" applyNumberFormat="1" applyFont="1" applyFill="1" applyBorder="1"/>
    <xf numFmtId="9" fontId="12" fillId="0" borderId="11" xfId="19" applyNumberFormat="1" applyFont="1" applyFill="1" applyBorder="1"/>
    <xf numFmtId="9" fontId="12" fillId="0" borderId="12" xfId="19" applyNumberFormat="1" applyFont="1" applyFill="1" applyBorder="1"/>
    <xf numFmtId="0" fontId="12" fillId="0" borderId="12" xfId="19" applyFont="1" applyFill="1" applyBorder="1"/>
    <xf numFmtId="174" fontId="12" fillId="0" borderId="12" xfId="19" applyNumberFormat="1" applyFont="1" applyFill="1" applyBorder="1"/>
    <xf numFmtId="43" fontId="43" fillId="0" borderId="12" xfId="20" applyNumberFormat="1" applyFont="1" applyFill="1" applyBorder="1"/>
    <xf numFmtId="43" fontId="12" fillId="0" borderId="12" xfId="19" applyNumberFormat="1" applyFont="1" applyFill="1" applyBorder="1"/>
    <xf numFmtId="165" fontId="12" fillId="0" borderId="41" xfId="19" applyNumberFormat="1" applyFont="1" applyFill="1" applyBorder="1"/>
    <xf numFmtId="0" fontId="41" fillId="0" borderId="2" xfId="11" applyFont="1" applyBorder="1" applyAlignment="1">
      <alignment horizontal="right" vertical="top"/>
    </xf>
    <xf numFmtId="9" fontId="12" fillId="0" borderId="0" xfId="19" applyNumberFormat="1" applyFont="1" applyFill="1" applyBorder="1" applyAlignment="1">
      <alignment horizontal="right"/>
    </xf>
    <xf numFmtId="0" fontId="41" fillId="0" borderId="0" xfId="11" applyFont="1" applyBorder="1" applyAlignment="1">
      <alignment vertical="top"/>
    </xf>
    <xf numFmtId="0" fontId="41" fillId="0" borderId="22" xfId="11" applyFont="1" applyBorder="1" applyAlignment="1">
      <alignment vertical="top"/>
    </xf>
    <xf numFmtId="0" fontId="11" fillId="0" borderId="5" xfId="11" applyFont="1" applyBorder="1" applyAlignment="1">
      <alignment vertical="top"/>
    </xf>
    <xf numFmtId="169" fontId="11" fillId="0" borderId="5" xfId="11" applyNumberFormat="1" applyFont="1" applyBorder="1" applyAlignment="1">
      <alignment vertical="top"/>
    </xf>
    <xf numFmtId="2" fontId="11" fillId="0" borderId="5" xfId="11" applyNumberFormat="1" applyFont="1" applyBorder="1" applyAlignment="1">
      <alignment vertical="top"/>
    </xf>
    <xf numFmtId="1" fontId="11" fillId="0" borderId="5" xfId="11" applyNumberFormat="1" applyFont="1" applyBorder="1" applyAlignment="1">
      <alignment vertical="top"/>
    </xf>
    <xf numFmtId="3" fontId="12" fillId="0" borderId="5" xfId="19" applyNumberFormat="1" applyFont="1" applyFill="1" applyBorder="1" applyAlignment="1">
      <alignment horizontal="center" wrapText="1"/>
    </xf>
    <xf numFmtId="5" fontId="12" fillId="0" borderId="5" xfId="2" applyNumberFormat="1" applyFont="1" applyFill="1" applyBorder="1">
      <alignment horizontal="center"/>
    </xf>
    <xf numFmtId="4" fontId="12" fillId="0" borderId="5" xfId="19" applyNumberFormat="1" applyFont="1" applyFill="1" applyBorder="1" applyAlignment="1">
      <alignment horizontal="center" wrapText="1"/>
    </xf>
    <xf numFmtId="0" fontId="5" fillId="0" borderId="0" xfId="19" applyFont="1" applyAlignment="1">
      <alignment horizontal="center" wrapText="1"/>
    </xf>
    <xf numFmtId="1" fontId="4" fillId="9" borderId="5" xfId="19" applyNumberFormat="1" applyFont="1" applyFill="1" applyBorder="1" applyAlignment="1">
      <alignment horizontal="center"/>
    </xf>
    <xf numFmtId="9" fontId="4" fillId="9" borderId="5" xfId="14" applyFont="1" applyFill="1" applyBorder="1" applyAlignment="1">
      <alignment horizontal="center"/>
    </xf>
    <xf numFmtId="5" fontId="12" fillId="0" borderId="26" xfId="2" applyNumberFormat="1" applyFont="1" applyFill="1" applyBorder="1">
      <alignment horizontal="center"/>
    </xf>
    <xf numFmtId="0" fontId="8" fillId="0" borderId="34" xfId="19" applyFont="1" applyBorder="1" applyAlignment="1">
      <alignment wrapText="1"/>
    </xf>
    <xf numFmtId="0" fontId="8" fillId="0" borderId="0" xfId="19" applyFont="1" applyAlignment="1">
      <alignment wrapText="1"/>
    </xf>
    <xf numFmtId="0" fontId="12" fillId="0" borderId="0" xfId="19" applyFont="1" applyAlignment="1">
      <alignment wrapText="1"/>
    </xf>
    <xf numFmtId="0" fontId="12" fillId="0" borderId="0" xfId="19" applyFont="1" applyBorder="1" applyAlignment="1">
      <alignment wrapText="1"/>
    </xf>
    <xf numFmtId="0" fontId="3" fillId="0" borderId="0" xfId="19" applyFont="1" applyAlignment="1">
      <alignment horizontal="center" wrapText="1"/>
    </xf>
    <xf numFmtId="0" fontId="0" fillId="0" borderId="0" xfId="19" applyFont="1" applyAlignment="1">
      <alignment horizontal="right"/>
    </xf>
    <xf numFmtId="0" fontId="3" fillId="0" borderId="0" xfId="19" applyFont="1" applyAlignment="1">
      <alignment horizontal="left"/>
    </xf>
    <xf numFmtId="0" fontId="3" fillId="0" borderId="0" xfId="19" applyFont="1"/>
    <xf numFmtId="0" fontId="46" fillId="0" borderId="0" xfId="19" applyFont="1" applyAlignment="1">
      <alignment horizontal="left"/>
    </xf>
    <xf numFmtId="0" fontId="46" fillId="0" borderId="0" xfId="19" applyFont="1" applyAlignment="1">
      <alignment horizontal="right"/>
    </xf>
    <xf numFmtId="165" fontId="33" fillId="9" borderId="10" xfId="1" applyNumberFormat="1" applyFont="1" applyFill="1" applyBorder="1" applyAlignment="1">
      <alignment vertical="center"/>
    </xf>
    <xf numFmtId="43" fontId="43" fillId="0" borderId="0" xfId="20" applyNumberFormat="1" applyFont="1" applyFill="1" applyBorder="1" applyAlignment="1">
      <alignment horizontal="center"/>
    </xf>
    <xf numFmtId="0" fontId="41" fillId="0" borderId="22" xfId="11" applyFont="1" applyBorder="1" applyAlignment="1">
      <alignment horizontal="center" vertical="top"/>
    </xf>
    <xf numFmtId="0" fontId="41" fillId="0" borderId="0" xfId="11" applyFont="1" applyBorder="1" applyAlignment="1">
      <alignment horizontal="center" vertical="top"/>
    </xf>
    <xf numFmtId="165" fontId="43" fillId="0" borderId="10" xfId="20" applyNumberFormat="1" applyFont="1" applyBorder="1"/>
    <xf numFmtId="9" fontId="12" fillId="0" borderId="26" xfId="19" applyNumberFormat="1" applyFont="1" applyBorder="1"/>
    <xf numFmtId="0" fontId="12" fillId="0" borderId="26" xfId="19" applyFont="1" applyBorder="1"/>
    <xf numFmtId="174" fontId="12" fillId="0" borderId="26" xfId="19" applyNumberFormat="1" applyFont="1" applyBorder="1"/>
    <xf numFmtId="165" fontId="12" fillId="0" borderId="26" xfId="19" applyNumberFormat="1" applyFont="1" applyBorder="1"/>
    <xf numFmtId="165" fontId="43" fillId="0" borderId="31" xfId="20" applyNumberFormat="1" applyFont="1" applyBorder="1"/>
    <xf numFmtId="0" fontId="12" fillId="0" borderId="64" xfId="19" applyFont="1" applyBorder="1" applyAlignment="1">
      <alignment horizontal="center" wrapText="1"/>
    </xf>
    <xf numFmtId="0" fontId="12" fillId="0" borderId="65" xfId="19" applyFont="1" applyBorder="1" applyAlignment="1">
      <alignment horizontal="center" wrapText="1"/>
    </xf>
    <xf numFmtId="0" fontId="12" fillId="0" borderId="65" xfId="19" applyFont="1" applyFill="1" applyBorder="1" applyAlignment="1">
      <alignment horizontal="center" wrapText="1"/>
    </xf>
    <xf numFmtId="0" fontId="12" fillId="0" borderId="57" xfId="19" applyFont="1" applyBorder="1" applyAlignment="1">
      <alignment horizontal="center" wrapText="1"/>
    </xf>
    <xf numFmtId="0" fontId="3" fillId="0" borderId="33" xfId="19" applyFont="1" applyBorder="1" applyAlignment="1">
      <alignment horizontal="center" wrapText="1"/>
    </xf>
    <xf numFmtId="0" fontId="3" fillId="0" borderId="33" xfId="19" applyFont="1" applyFill="1" applyBorder="1" applyAlignment="1">
      <alignment horizontal="center" wrapText="1"/>
    </xf>
    <xf numFmtId="0" fontId="3" fillId="0" borderId="63" xfId="19" applyFont="1" applyBorder="1" applyAlignment="1">
      <alignment horizontal="center" wrapText="1"/>
    </xf>
    <xf numFmtId="9" fontId="41" fillId="0" borderId="39" xfId="21" applyFont="1" applyBorder="1"/>
    <xf numFmtId="165" fontId="41" fillId="0" borderId="18" xfId="19" applyNumberFormat="1" applyFont="1" applyBorder="1" applyAlignment="1">
      <alignment horizontal="right"/>
    </xf>
    <xf numFmtId="177" fontId="33" fillId="0" borderId="10" xfId="11" applyNumberFormat="1" applyFont="1" applyFill="1" applyBorder="1" applyAlignment="1">
      <alignment vertical="center"/>
    </xf>
    <xf numFmtId="174" fontId="43" fillId="0" borderId="5" xfId="20" applyNumberFormat="1" applyFont="1" applyBorder="1"/>
    <xf numFmtId="174" fontId="43" fillId="0" borderId="26" xfId="20" applyNumberFormat="1" applyFont="1" applyBorder="1"/>
    <xf numFmtId="0" fontId="41" fillId="0" borderId="2" xfId="11" applyFont="1" applyBorder="1" applyAlignment="1">
      <alignment horizontal="right" vertical="top"/>
    </xf>
    <xf numFmtId="9" fontId="12" fillId="9" borderId="62" xfId="19" applyNumberFormat="1" applyFont="1" applyFill="1" applyBorder="1"/>
    <xf numFmtId="9" fontId="12" fillId="9" borderId="9" xfId="19" applyNumberFormat="1" applyFont="1" applyFill="1" applyBorder="1"/>
    <xf numFmtId="9" fontId="12" fillId="9" borderId="24" xfId="19" applyNumberFormat="1" applyFont="1" applyFill="1" applyBorder="1"/>
    <xf numFmtId="165" fontId="12" fillId="0" borderId="5" xfId="1" applyNumberFormat="1" applyFont="1" applyFill="1" applyBorder="1"/>
    <xf numFmtId="173" fontId="12" fillId="0" borderId="5" xfId="19" applyNumberFormat="1" applyFont="1" applyFill="1" applyBorder="1"/>
    <xf numFmtId="173" fontId="43" fillId="0" borderId="5" xfId="14" applyNumberFormat="1" applyFont="1" applyBorder="1" applyAlignment="1">
      <alignment horizontal="center"/>
    </xf>
    <xf numFmtId="9" fontId="12" fillId="0" borderId="5" xfId="14" applyFont="1" applyBorder="1" applyAlignment="1">
      <alignment horizontal="center" wrapText="1"/>
    </xf>
    <xf numFmtId="9" fontId="12" fillId="0" borderId="5" xfId="14" applyFont="1" applyBorder="1" applyAlignment="1">
      <alignment horizontal="center"/>
    </xf>
    <xf numFmtId="0" fontId="12" fillId="0" borderId="5" xfId="19" applyFont="1" applyBorder="1" applyAlignment="1">
      <alignment horizontal="center" wrapText="1"/>
    </xf>
    <xf numFmtId="0" fontId="12" fillId="0" borderId="9" xfId="19" applyFont="1" applyBorder="1" applyAlignment="1">
      <alignment horizontal="center" wrapText="1"/>
    </xf>
    <xf numFmtId="0" fontId="12" fillId="0" borderId="9" xfId="19" applyFont="1" applyBorder="1" applyAlignment="1">
      <alignment horizontal="center"/>
    </xf>
    <xf numFmtId="0" fontId="12" fillId="0" borderId="5" xfId="19" applyFont="1" applyBorder="1" applyAlignment="1">
      <alignment horizontal="center"/>
    </xf>
    <xf numFmtId="0" fontId="12" fillId="16" borderId="5" xfId="19" applyFont="1" applyFill="1" applyBorder="1" applyAlignment="1">
      <alignment horizontal="center"/>
    </xf>
    <xf numFmtId="0" fontId="12" fillId="16" borderId="19" xfId="19" applyFont="1" applyFill="1" applyBorder="1" applyAlignment="1">
      <alignment horizontal="center"/>
    </xf>
    <xf numFmtId="0" fontId="2" fillId="16" borderId="39" xfId="19" applyFont="1" applyFill="1" applyBorder="1" applyAlignment="1">
      <alignment horizontal="center"/>
    </xf>
    <xf numFmtId="0" fontId="12" fillId="0" borderId="67" xfId="19" applyFont="1" applyBorder="1" applyAlignment="1">
      <alignment horizontal="center"/>
    </xf>
    <xf numFmtId="0" fontId="12" fillId="0" borderId="39" xfId="19" applyFont="1" applyBorder="1" applyAlignment="1">
      <alignment horizontal="center"/>
    </xf>
    <xf numFmtId="9" fontId="12" fillId="0" borderId="39" xfId="14" applyFont="1" applyBorder="1" applyAlignment="1">
      <alignment horizontal="center"/>
    </xf>
    <xf numFmtId="0" fontId="1" fillId="0" borderId="57" xfId="19" applyFont="1" applyBorder="1" applyAlignment="1">
      <alignment horizontal="center"/>
    </xf>
    <xf numFmtId="0" fontId="1" fillId="0" borderId="66" xfId="19" applyFont="1" applyBorder="1" applyAlignment="1">
      <alignment horizontal="center"/>
    </xf>
    <xf numFmtId="0" fontId="1" fillId="0" borderId="5" xfId="19" applyFont="1" applyBorder="1"/>
    <xf numFmtId="0" fontId="12" fillId="0" borderId="15" xfId="19" applyFont="1" applyBorder="1"/>
    <xf numFmtId="0" fontId="2" fillId="0" borderId="39" xfId="19" applyFont="1" applyBorder="1" applyAlignment="1">
      <alignment horizontal="center"/>
    </xf>
    <xf numFmtId="0" fontId="12" fillId="0" borderId="68" xfId="19" applyFont="1" applyBorder="1"/>
    <xf numFmtId="0" fontId="12" fillId="16" borderId="69" xfId="19" applyFont="1" applyFill="1" applyBorder="1"/>
    <xf numFmtId="0" fontId="12" fillId="16" borderId="70" xfId="19" applyFont="1" applyFill="1" applyBorder="1"/>
    <xf numFmtId="9" fontId="12" fillId="0" borderId="0" xfId="19" applyNumberFormat="1" applyFont="1" applyFill="1" applyBorder="1" applyAlignment="1">
      <alignment horizontal="center"/>
    </xf>
    <xf numFmtId="0" fontId="3" fillId="0" borderId="0" xfId="19" applyFont="1" applyFill="1" applyBorder="1" applyAlignment="1">
      <alignment horizontal="center" wrapText="1"/>
    </xf>
    <xf numFmtId="0" fontId="47" fillId="0" borderId="0" xfId="0" applyFont="1"/>
    <xf numFmtId="0" fontId="1" fillId="0" borderId="0" xfId="19" applyNumberFormat="1" applyFont="1"/>
    <xf numFmtId="0" fontId="1" fillId="0" borderId="0" xfId="19" applyFont="1"/>
    <xf numFmtId="0" fontId="12" fillId="0" borderId="0" xfId="19" applyFont="1" applyAlignment="1">
      <alignment vertical="top"/>
    </xf>
    <xf numFmtId="0" fontId="10" fillId="0" borderId="15" xfId="11" applyFont="1" applyBorder="1" applyAlignment="1">
      <alignment horizontal="center"/>
    </xf>
    <xf numFmtId="9" fontId="33" fillId="9" borderId="71" xfId="14" applyFont="1" applyFill="1" applyBorder="1" applyAlignment="1">
      <alignment horizontal="center" vertical="center"/>
    </xf>
    <xf numFmtId="0" fontId="15" fillId="0" borderId="5" xfId="0" applyFont="1" applyBorder="1" applyAlignment="1">
      <alignment horizontal="right"/>
    </xf>
    <xf numFmtId="165" fontId="10" fillId="0" borderId="15" xfId="1" applyNumberFormat="1" applyFont="1" applyBorder="1" applyAlignment="1">
      <alignment horizontal="center"/>
    </xf>
    <xf numFmtId="165" fontId="33" fillId="0" borderId="5" xfId="1" applyNumberFormat="1" applyFont="1" applyBorder="1" applyAlignment="1">
      <alignment horizontal="center" vertical="center"/>
    </xf>
    <xf numFmtId="0" fontId="1" fillId="0" borderId="5" xfId="11" applyFont="1" applyBorder="1" applyAlignment="1">
      <alignment horizontal="center" vertical="center"/>
    </xf>
    <xf numFmtId="49" fontId="1" fillId="0" borderId="0" xfId="23" applyNumberFormat="1" applyFont="1"/>
    <xf numFmtId="0" fontId="41" fillId="0" borderId="0" xfId="19" applyFont="1" applyFill="1" applyBorder="1" applyAlignment="1">
      <alignment horizontal="right"/>
    </xf>
    <xf numFmtId="3" fontId="29" fillId="10" borderId="5" xfId="2" applyNumberFormat="1" applyFont="1" applyFill="1" applyBorder="1" applyAlignment="1" applyProtection="1">
      <alignment horizontal="left"/>
      <protection locked="0"/>
    </xf>
    <xf numFmtId="0" fontId="33" fillId="0" borderId="18" xfId="11" applyFont="1" applyBorder="1" applyAlignment="1">
      <alignment vertical="center"/>
    </xf>
    <xf numFmtId="0" fontId="33" fillId="0" borderId="20" xfId="11" applyFont="1" applyBorder="1" applyAlignment="1">
      <alignment vertical="center"/>
    </xf>
    <xf numFmtId="0" fontId="33" fillId="0" borderId="38" xfId="11" applyFont="1" applyBorder="1" applyAlignment="1">
      <alignment vertical="center"/>
    </xf>
    <xf numFmtId="5" fontId="33" fillId="9" borderId="5" xfId="2" applyNumberFormat="1" applyFont="1" applyFill="1" applyBorder="1">
      <alignment horizontal="center"/>
    </xf>
    <xf numFmtId="0" fontId="32" fillId="0" borderId="37" xfId="11" applyFont="1" applyBorder="1" applyAlignment="1">
      <alignment horizontal="right" vertical="center"/>
    </xf>
    <xf numFmtId="0" fontId="32" fillId="0" borderId="1" xfId="11" applyFont="1" applyBorder="1" applyAlignment="1">
      <alignment horizontal="right" vertical="center"/>
    </xf>
    <xf numFmtId="0" fontId="32" fillId="0" borderId="15" xfId="11" applyFont="1" applyBorder="1" applyAlignment="1">
      <alignment horizontal="right" vertical="center"/>
    </xf>
    <xf numFmtId="0" fontId="34" fillId="0" borderId="46" xfId="11" applyFont="1" applyBorder="1" applyAlignment="1">
      <alignment horizontal="center" vertical="center"/>
    </xf>
    <xf numFmtId="0" fontId="34" fillId="0" borderId="47" xfId="11" applyFont="1" applyBorder="1" applyAlignment="1">
      <alignment horizontal="center" vertical="center"/>
    </xf>
    <xf numFmtId="0" fontId="34" fillId="0" borderId="48" xfId="11" applyFont="1" applyBorder="1" applyAlignment="1">
      <alignment horizontal="center" vertical="center"/>
    </xf>
    <xf numFmtId="0" fontId="33" fillId="0" borderId="9" xfId="11" applyFont="1" applyBorder="1" applyAlignment="1">
      <alignment horizontal="right" vertical="top"/>
    </xf>
    <xf numFmtId="0" fontId="0" fillId="0" borderId="5" xfId="0" applyBorder="1"/>
    <xf numFmtId="0" fontId="33" fillId="0" borderId="9" xfId="11" applyFont="1" applyBorder="1" applyAlignment="1">
      <alignment horizontal="right" vertical="center"/>
    </xf>
    <xf numFmtId="0" fontId="33" fillId="0" borderId="5" xfId="11" applyFont="1" applyBorder="1" applyAlignment="1">
      <alignment horizontal="right" vertical="center"/>
    </xf>
    <xf numFmtId="0" fontId="33" fillId="0" borderId="19" xfId="11" applyFont="1" applyBorder="1" applyAlignment="1">
      <alignment horizontal="right" vertical="center"/>
    </xf>
    <xf numFmtId="0" fontId="32" fillId="0" borderId="42" xfId="11" applyFont="1" applyBorder="1" applyAlignment="1">
      <alignment horizontal="left" vertical="center"/>
    </xf>
    <xf numFmtId="0" fontId="32" fillId="0" borderId="43" xfId="11" applyFont="1" applyBorder="1" applyAlignment="1">
      <alignment horizontal="left" vertical="center"/>
    </xf>
    <xf numFmtId="0" fontId="32" fillId="0" borderId="44" xfId="11" applyFont="1" applyBorder="1" applyAlignment="1">
      <alignment horizontal="left" vertical="center"/>
    </xf>
    <xf numFmtId="0" fontId="33" fillId="0" borderId="11" xfId="11" applyFont="1" applyBorder="1" applyAlignment="1">
      <alignment horizontal="left" vertical="center"/>
    </xf>
    <xf numFmtId="0" fontId="33" fillId="0" borderId="12" xfId="11" applyFont="1" applyBorder="1" applyAlignment="1">
      <alignment horizontal="left" vertical="center"/>
    </xf>
    <xf numFmtId="0" fontId="33" fillId="0" borderId="53" xfId="11" applyFont="1" applyBorder="1" applyAlignment="1">
      <alignment horizontal="left" vertical="center"/>
    </xf>
    <xf numFmtId="0" fontId="33" fillId="0" borderId="43" xfId="11" applyFont="1" applyBorder="1" applyAlignment="1">
      <alignment horizontal="center" vertical="center"/>
    </xf>
    <xf numFmtId="0" fontId="33" fillId="0" borderId="49" xfId="11" applyFont="1" applyBorder="1" applyAlignment="1">
      <alignment horizontal="left" vertical="center"/>
    </xf>
    <xf numFmtId="0" fontId="33" fillId="0" borderId="20" xfId="11" applyFont="1" applyBorder="1" applyAlignment="1">
      <alignment horizontal="left" vertical="center"/>
    </xf>
    <xf numFmtId="0" fontId="33" fillId="0" borderId="45" xfId="11" applyFont="1" applyBorder="1" applyAlignment="1">
      <alignment horizontal="left" vertical="center"/>
    </xf>
    <xf numFmtId="0" fontId="33" fillId="0" borderId="49" xfId="11" applyFont="1" applyBorder="1" applyAlignment="1">
      <alignment vertical="center"/>
    </xf>
    <xf numFmtId="0" fontId="33" fillId="0" borderId="45" xfId="11" applyFont="1" applyBorder="1" applyAlignment="1">
      <alignment vertical="center"/>
    </xf>
    <xf numFmtId="0" fontId="33" fillId="0" borderId="29" xfId="11" applyFont="1" applyFill="1" applyBorder="1" applyAlignment="1">
      <alignment horizontal="left" vertical="center"/>
    </xf>
    <xf numFmtId="0" fontId="33" fillId="0" borderId="8" xfId="11" applyFont="1" applyFill="1" applyBorder="1" applyAlignment="1">
      <alignment horizontal="left" vertical="center"/>
    </xf>
    <xf numFmtId="0" fontId="33" fillId="9" borderId="33" xfId="11" applyFont="1" applyFill="1" applyBorder="1" applyAlignment="1">
      <alignment horizontal="center" vertical="center"/>
    </xf>
    <xf numFmtId="0" fontId="45" fillId="0" borderId="12" xfId="0" applyFont="1" applyBorder="1" applyAlignment="1">
      <alignment horizontal="center"/>
    </xf>
    <xf numFmtId="175" fontId="21" fillId="9" borderId="33" xfId="11" applyNumberFormat="1" applyFont="1" applyFill="1" applyBorder="1" applyAlignment="1">
      <alignment horizontal="center" vertical="center"/>
    </xf>
    <xf numFmtId="175" fontId="21" fillId="9" borderId="63" xfId="11" applyNumberFormat="1" applyFont="1" applyFill="1" applyBorder="1" applyAlignment="1">
      <alignment horizontal="center" vertical="center"/>
    </xf>
    <xf numFmtId="175" fontId="21" fillId="9" borderId="5" xfId="11" applyNumberFormat="1" applyFont="1" applyFill="1" applyBorder="1" applyAlignment="1">
      <alignment horizontal="center" vertical="center"/>
    </xf>
    <xf numFmtId="175" fontId="21" fillId="9" borderId="10" xfId="11" applyNumberFormat="1" applyFont="1" applyFill="1" applyBorder="1" applyAlignment="1">
      <alignment horizontal="center" vertical="center"/>
    </xf>
    <xf numFmtId="0" fontId="34" fillId="10" borderId="21" xfId="11" applyFont="1" applyFill="1" applyBorder="1" applyAlignment="1">
      <alignment horizontal="center" vertical="center" wrapText="1"/>
    </xf>
    <xf numFmtId="0" fontId="34" fillId="10" borderId="22" xfId="11" applyFont="1" applyFill="1" applyBorder="1" applyAlignment="1">
      <alignment horizontal="center" vertical="center" wrapText="1"/>
    </xf>
    <xf numFmtId="0" fontId="34" fillId="10" borderId="59" xfId="11" applyFont="1" applyFill="1" applyBorder="1" applyAlignment="1">
      <alignment horizontal="center" vertical="center" wrapText="1"/>
    </xf>
    <xf numFmtId="0" fontId="33" fillId="0" borderId="38" xfId="11" applyFont="1" applyBorder="1" applyAlignment="1">
      <alignment horizontal="left" vertical="center"/>
    </xf>
    <xf numFmtId="0" fontId="32" fillId="0" borderId="52" xfId="11" applyFont="1" applyBorder="1" applyAlignment="1">
      <alignment horizontal="left" vertical="center"/>
    </xf>
    <xf numFmtId="0" fontId="33" fillId="0" borderId="41" xfId="11" applyFont="1" applyBorder="1" applyAlignment="1">
      <alignment horizontal="left" vertical="center"/>
    </xf>
    <xf numFmtId="0" fontId="33" fillId="0" borderId="62" xfId="11" applyFont="1" applyBorder="1" applyAlignment="1">
      <alignment horizontal="right" vertical="top"/>
    </xf>
    <xf numFmtId="0" fontId="0" fillId="0" borderId="33" xfId="0" applyBorder="1"/>
    <xf numFmtId="0" fontId="36" fillId="0" borderId="12" xfId="11" applyFont="1" applyBorder="1" applyAlignment="1">
      <alignment horizontal="center"/>
    </xf>
    <xf numFmtId="0" fontId="33" fillId="0" borderId="22" xfId="11" applyFont="1" applyBorder="1" applyAlignment="1">
      <alignment horizontal="center" vertical="center"/>
    </xf>
    <xf numFmtId="0" fontId="33" fillId="0" borderId="51" xfId="11" applyFont="1" applyBorder="1" applyAlignment="1">
      <alignment horizontal="center" vertical="center"/>
    </xf>
    <xf numFmtId="0" fontId="32" fillId="0" borderId="42" xfId="11" applyFont="1" applyFill="1" applyBorder="1" applyAlignment="1">
      <alignment horizontal="left" vertical="center"/>
    </xf>
    <xf numFmtId="0" fontId="32" fillId="0" borderId="43" xfId="11" applyFont="1" applyFill="1" applyBorder="1" applyAlignment="1">
      <alignment horizontal="left" vertical="center"/>
    </xf>
    <xf numFmtId="0" fontId="33" fillId="0" borderId="43" xfId="11" applyFont="1" applyBorder="1" applyAlignment="1">
      <alignment vertical="center"/>
    </xf>
    <xf numFmtId="0" fontId="33" fillId="0" borderId="44" xfId="11" applyFont="1" applyBorder="1" applyAlignment="1">
      <alignment vertical="center"/>
    </xf>
    <xf numFmtId="0" fontId="33" fillId="0" borderId="18" xfId="11" applyFont="1" applyFill="1" applyBorder="1" applyAlignment="1">
      <alignment vertical="center"/>
    </xf>
    <xf numFmtId="0" fontId="33" fillId="0" borderId="45" xfId="11" applyFont="1" applyFill="1" applyBorder="1" applyAlignment="1">
      <alignment vertical="center"/>
    </xf>
    <xf numFmtId="0" fontId="33" fillId="13" borderId="9" xfId="11" applyFont="1" applyFill="1" applyBorder="1" applyAlignment="1">
      <alignment horizontal="left" vertical="top"/>
    </xf>
    <xf numFmtId="0" fontId="33" fillId="13" borderId="5" xfId="11" applyFont="1" applyFill="1" applyBorder="1" applyAlignment="1">
      <alignment horizontal="left" vertical="top"/>
    </xf>
    <xf numFmtId="0" fontId="33" fillId="13" borderId="24" xfId="11" applyFont="1" applyFill="1" applyBorder="1" applyAlignment="1">
      <alignment horizontal="left" vertical="top"/>
    </xf>
    <xf numFmtId="0" fontId="33" fillId="13" borderId="26" xfId="11" applyFont="1" applyFill="1" applyBorder="1" applyAlignment="1">
      <alignment horizontal="left" vertical="top"/>
    </xf>
    <xf numFmtId="0" fontId="33" fillId="13" borderId="40" xfId="11" applyFont="1" applyFill="1" applyBorder="1" applyAlignment="1">
      <alignment horizontal="left"/>
    </xf>
    <xf numFmtId="0" fontId="33" fillId="13" borderId="44" xfId="11" applyFont="1" applyFill="1" applyBorder="1" applyAlignment="1">
      <alignment horizontal="left"/>
    </xf>
    <xf numFmtId="0" fontId="33" fillId="13" borderId="16" xfId="11" applyFont="1" applyFill="1" applyBorder="1" applyAlignment="1">
      <alignment horizontal="left"/>
    </xf>
    <xf numFmtId="0" fontId="33" fillId="13" borderId="53" xfId="11" applyFont="1" applyFill="1" applyBorder="1" applyAlignment="1">
      <alignment horizontal="left"/>
    </xf>
    <xf numFmtId="0" fontId="33" fillId="0" borderId="40" xfId="11" applyFont="1" applyBorder="1" applyAlignment="1">
      <alignment horizontal="center" vertical="center" wrapText="1"/>
    </xf>
    <xf numFmtId="0" fontId="33" fillId="0" borderId="52" xfId="11" applyFont="1" applyBorder="1" applyAlignment="1">
      <alignment horizontal="center" vertical="center" wrapText="1"/>
    </xf>
    <xf numFmtId="0" fontId="33" fillId="0" borderId="16" xfId="11" applyFont="1" applyBorder="1" applyAlignment="1">
      <alignment horizontal="center" vertical="center" wrapText="1"/>
    </xf>
    <xf numFmtId="0" fontId="33" fillId="0" borderId="41" xfId="11" applyFont="1" applyBorder="1" applyAlignment="1">
      <alignment horizontal="center" vertical="center" wrapText="1"/>
    </xf>
    <xf numFmtId="0" fontId="33" fillId="0" borderId="21" xfId="11" applyFont="1" applyBorder="1" applyAlignment="1">
      <alignment horizontal="right" vertical="center"/>
    </xf>
    <xf numFmtId="0" fontId="33" fillId="0" borderId="22" xfId="11" applyFont="1" applyBorder="1" applyAlignment="1">
      <alignment horizontal="right" vertical="center"/>
    </xf>
    <xf numFmtId="0" fontId="33" fillId="0" borderId="51" xfId="11" applyFont="1" applyBorder="1" applyAlignment="1">
      <alignment horizontal="right" vertical="center"/>
    </xf>
    <xf numFmtId="0" fontId="33" fillId="0" borderId="37" xfId="11" applyFont="1" applyBorder="1" applyAlignment="1">
      <alignment horizontal="left" vertical="center" wrapText="1"/>
    </xf>
    <xf numFmtId="0" fontId="33" fillId="0" borderId="1" xfId="11" applyFont="1" applyBorder="1" applyAlignment="1">
      <alignment horizontal="left" vertical="center" wrapText="1"/>
    </xf>
    <xf numFmtId="0" fontId="33" fillId="0" borderId="27" xfId="11" applyFont="1" applyBorder="1" applyAlignment="1">
      <alignment horizontal="left" vertical="center" wrapText="1"/>
    </xf>
    <xf numFmtId="0" fontId="33" fillId="0" borderId="43" xfId="11" applyFont="1" applyBorder="1" applyAlignment="1">
      <alignment horizontal="center" vertical="center" wrapText="1"/>
    </xf>
    <xf numFmtId="0" fontId="33" fillId="0" borderId="20" xfId="11" applyFont="1" applyBorder="1" applyAlignment="1">
      <alignment horizontal="center" vertical="center" wrapText="1"/>
    </xf>
    <xf numFmtId="169" fontId="33" fillId="0" borderId="5" xfId="11" applyNumberFormat="1" applyFont="1" applyBorder="1" applyAlignment="1">
      <alignment horizontal="right" vertical="center" wrapText="1"/>
    </xf>
    <xf numFmtId="169" fontId="33" fillId="0" borderId="44" xfId="11" applyNumberFormat="1" applyFont="1" applyFill="1" applyBorder="1" applyAlignment="1">
      <alignment horizontal="right" vertical="center" wrapText="1"/>
    </xf>
    <xf numFmtId="169" fontId="33" fillId="0" borderId="45" xfId="11" applyNumberFormat="1" applyFont="1" applyFill="1" applyBorder="1" applyAlignment="1">
      <alignment horizontal="right" vertical="center" wrapText="1"/>
    </xf>
    <xf numFmtId="0" fontId="35" fillId="0" borderId="37" xfId="11" applyFont="1" applyBorder="1" applyAlignment="1">
      <alignment horizontal="center" vertical="top" wrapText="1"/>
    </xf>
    <xf numFmtId="0" fontId="35" fillId="0" borderId="1" xfId="11" applyFont="1" applyBorder="1" applyAlignment="1">
      <alignment horizontal="center" vertical="top" wrapText="1"/>
    </xf>
    <xf numFmtId="0" fontId="35" fillId="0" borderId="27" xfId="11" applyFont="1" applyBorder="1" applyAlignment="1">
      <alignment horizontal="center" vertical="top" wrapText="1"/>
    </xf>
    <xf numFmtId="0" fontId="32" fillId="0" borderId="42" xfId="11" applyFont="1" applyBorder="1" applyAlignment="1">
      <alignment horizontal="left" vertical="center" wrapText="1"/>
    </xf>
    <xf numFmtId="0" fontId="32" fillId="0" borderId="43" xfId="11" applyFont="1" applyBorder="1" applyAlignment="1">
      <alignment horizontal="left" vertical="center" wrapText="1"/>
    </xf>
    <xf numFmtId="0" fontId="32" fillId="0" borderId="52" xfId="11" applyFont="1" applyBorder="1" applyAlignment="1">
      <alignment horizontal="left" vertical="center" wrapText="1"/>
    </xf>
    <xf numFmtId="0" fontId="34" fillId="0" borderId="42" xfId="11" applyFont="1" applyBorder="1" applyAlignment="1">
      <alignment horizontal="left" vertical="center" wrapText="1"/>
    </xf>
    <xf numFmtId="0" fontId="34" fillId="0" borderId="43" xfId="11" applyFont="1" applyBorder="1" applyAlignment="1">
      <alignment horizontal="left" vertical="center" wrapText="1"/>
    </xf>
    <xf numFmtId="0" fontId="34" fillId="0" borderId="52" xfId="11" applyFont="1" applyBorder="1" applyAlignment="1">
      <alignment horizontal="left" vertical="center" wrapText="1"/>
    </xf>
    <xf numFmtId="0" fontId="33" fillId="0" borderId="2" xfId="11" applyFont="1" applyBorder="1" applyAlignment="1">
      <alignment horizontal="left" vertical="top" wrapText="1"/>
    </xf>
    <xf numFmtId="0" fontId="33" fillId="0" borderId="0" xfId="11" applyFont="1" applyBorder="1" applyAlignment="1">
      <alignment horizontal="left" vertical="top" wrapText="1"/>
    </xf>
    <xf numFmtId="0" fontId="33" fillId="0" borderId="49" xfId="11" applyFont="1" applyBorder="1" applyAlignment="1">
      <alignment horizontal="left" vertical="top" wrapText="1"/>
    </xf>
    <xf numFmtId="0" fontId="33" fillId="0" borderId="20" xfId="11" applyFont="1" applyBorder="1" applyAlignment="1">
      <alignment horizontal="left" vertical="top" wrapText="1"/>
    </xf>
    <xf numFmtId="0" fontId="33" fillId="0" borderId="36" xfId="11" applyFont="1" applyBorder="1" applyAlignment="1">
      <alignment horizontal="left" vertical="top" wrapText="1"/>
    </xf>
    <xf numFmtId="0" fontId="33" fillId="0" borderId="38" xfId="11" applyFont="1" applyBorder="1" applyAlignment="1">
      <alignment horizontal="left" vertical="top" wrapText="1"/>
    </xf>
    <xf numFmtId="0" fontId="33" fillId="13" borderId="40" xfId="11" applyFont="1" applyFill="1" applyBorder="1" applyAlignment="1">
      <alignment horizontal="left" vertical="top" wrapText="1"/>
    </xf>
    <xf numFmtId="0" fontId="33" fillId="13" borderId="43" xfId="11" applyFont="1" applyFill="1" applyBorder="1" applyAlignment="1">
      <alignment horizontal="left" vertical="top" wrapText="1"/>
    </xf>
    <xf numFmtId="0" fontId="33" fillId="13" borderId="52" xfId="11" applyFont="1" applyFill="1" applyBorder="1" applyAlignment="1">
      <alignment horizontal="left" vertical="top" wrapText="1"/>
    </xf>
    <xf numFmtId="0" fontId="33" fillId="13" borderId="34" xfId="11" applyFont="1" applyFill="1" applyBorder="1" applyAlignment="1">
      <alignment horizontal="left" vertical="top" wrapText="1"/>
    </xf>
    <xf numFmtId="0" fontId="33" fillId="13" borderId="0" xfId="11" applyFont="1" applyFill="1" applyBorder="1" applyAlignment="1">
      <alignment horizontal="left" vertical="top" wrapText="1"/>
    </xf>
    <xf numFmtId="0" fontId="33" fillId="13" borderId="55" xfId="11" applyFont="1" applyFill="1" applyBorder="1" applyAlignment="1">
      <alignment horizontal="left" vertical="top" wrapText="1"/>
    </xf>
    <xf numFmtId="0" fontId="33" fillId="13" borderId="56" xfId="11" applyFont="1" applyFill="1" applyBorder="1" applyAlignment="1">
      <alignment horizontal="left" vertical="top" wrapText="1"/>
    </xf>
    <xf numFmtId="0" fontId="32" fillId="0" borderId="2" xfId="11" applyFont="1" applyBorder="1" applyAlignment="1">
      <alignment horizontal="center" vertical="center" wrapText="1"/>
    </xf>
    <xf numFmtId="0" fontId="32" fillId="0" borderId="0" xfId="11" applyFont="1" applyBorder="1" applyAlignment="1">
      <alignment horizontal="center" vertical="center" wrapText="1"/>
    </xf>
    <xf numFmtId="0" fontId="33" fillId="0" borderId="0" xfId="11" applyFont="1" applyBorder="1" applyAlignment="1">
      <alignment horizontal="left" vertical="center" wrapText="1"/>
    </xf>
    <xf numFmtId="0" fontId="33" fillId="0" borderId="36" xfId="11" applyFont="1" applyBorder="1" applyAlignment="1">
      <alignment horizontal="left" vertical="center" wrapText="1"/>
    </xf>
    <xf numFmtId="0" fontId="33" fillId="0" borderId="12" xfId="11" applyFont="1" applyBorder="1" applyAlignment="1">
      <alignment horizontal="left" vertical="center" wrapText="1"/>
    </xf>
    <xf numFmtId="0" fontId="33" fillId="0" borderId="41" xfId="11" applyFont="1" applyBorder="1" applyAlignment="1">
      <alignment horizontal="left" vertical="center" wrapText="1"/>
    </xf>
    <xf numFmtId="0" fontId="33" fillId="0" borderId="0" xfId="11" applyFont="1" applyBorder="1" applyAlignment="1">
      <alignment horizontal="left" vertical="center"/>
    </xf>
    <xf numFmtId="0" fontId="33" fillId="9" borderId="5" xfId="11" applyFont="1" applyFill="1" applyBorder="1" applyAlignment="1">
      <alignment horizontal="center" vertical="center"/>
    </xf>
    <xf numFmtId="0" fontId="33" fillId="0" borderId="33" xfId="11" applyFont="1" applyBorder="1" applyAlignment="1">
      <alignment horizontal="right" vertical="center"/>
    </xf>
    <xf numFmtId="0" fontId="10" fillId="0" borderId="5" xfId="11" applyFont="1" applyBorder="1" applyAlignment="1">
      <alignment horizontal="right"/>
    </xf>
    <xf numFmtId="0" fontId="2" fillId="0" borderId="62" xfId="19" applyFont="1" applyBorder="1" applyAlignment="1">
      <alignment horizontal="center"/>
    </xf>
    <xf numFmtId="0" fontId="2" fillId="0" borderId="33" xfId="19" applyFont="1" applyBorder="1" applyAlignment="1">
      <alignment horizontal="center"/>
    </xf>
    <xf numFmtId="0" fontId="2" fillId="0" borderId="5" xfId="19" applyFont="1" applyBorder="1" applyAlignment="1">
      <alignment horizontal="center"/>
    </xf>
    <xf numFmtId="0" fontId="7" fillId="0" borderId="19" xfId="19" applyFont="1" applyFill="1" applyBorder="1" applyAlignment="1">
      <alignment horizontal="left"/>
    </xf>
    <xf numFmtId="0" fontId="7" fillId="0" borderId="15" xfId="19" applyFont="1" applyFill="1" applyBorder="1" applyAlignment="1">
      <alignment horizontal="left"/>
    </xf>
    <xf numFmtId="0" fontId="12" fillId="0" borderId="0" xfId="19" applyFont="1" applyAlignment="1">
      <alignment horizontal="left" wrapText="1"/>
    </xf>
    <xf numFmtId="0" fontId="41" fillId="0" borderId="2" xfId="11" applyFont="1" applyBorder="1" applyAlignment="1">
      <alignment horizontal="right" vertical="top"/>
    </xf>
    <xf numFmtId="0" fontId="41" fillId="0" borderId="0" xfId="11" applyFont="1" applyBorder="1" applyAlignment="1">
      <alignment horizontal="right" vertical="top"/>
    </xf>
    <xf numFmtId="0" fontId="41" fillId="0" borderId="11" xfId="11" applyFont="1" applyBorder="1" applyAlignment="1">
      <alignment horizontal="right" vertical="top"/>
    </xf>
    <xf numFmtId="0" fontId="41" fillId="0" borderId="12" xfId="11" applyFont="1" applyBorder="1" applyAlignment="1">
      <alignment horizontal="right" vertical="top"/>
    </xf>
    <xf numFmtId="0" fontId="42" fillId="14" borderId="58" xfId="15" applyFont="1" applyFill="1" applyBorder="1" applyAlignment="1">
      <alignment horizontal="center"/>
    </xf>
    <xf numFmtId="0" fontId="42" fillId="0" borderId="0" xfId="0" applyFont="1" applyAlignment="1">
      <alignment horizontal="center"/>
    </xf>
  </cellXfs>
  <cellStyles count="29">
    <cellStyle name="Comma" xfId="1" builtinId="3"/>
    <cellStyle name="Comma 2" xfId="20"/>
    <cellStyle name="Comma 3" xfId="17"/>
    <cellStyle name="Comma 4" xfId="24"/>
    <cellStyle name="Comma 5" xfId="27"/>
    <cellStyle name="Currency" xfId="2" builtinId="4"/>
    <cellStyle name="Currency 2" xfId="3"/>
    <cellStyle name="Currency_ComLightRetroFY07v1_1" xfId="4"/>
    <cellStyle name="Date/Time" xfId="5"/>
    <cellStyle name="Decimal" xfId="6"/>
    <cellStyle name="Heading" xfId="7"/>
    <cellStyle name="Heading 2" xfId="8" builtinId="17" customBuiltin="1"/>
    <cellStyle name="Hyperlink" xfId="9" builtinId="8"/>
    <cellStyle name="Integer" xfId="10"/>
    <cellStyle name="Normal" xfId="0" builtinId="0"/>
    <cellStyle name="Normal 2" xfId="11"/>
    <cellStyle name="Normal 2 2" xfId="22"/>
    <cellStyle name="Normal 3" xfId="12"/>
    <cellStyle name="Normal 4" xfId="15"/>
    <cellStyle name="Normal 5" xfId="19"/>
    <cellStyle name="Normal 6" xfId="16"/>
    <cellStyle name="Normal 7" xfId="23"/>
    <cellStyle name="Normal 8" xfId="26"/>
    <cellStyle name="Normal_ComLightRetroFY07v1_1" xfId="13"/>
    <cellStyle name="Percent" xfId="14" builtinId="5"/>
    <cellStyle name="Percent 2" xfId="21"/>
    <cellStyle name="Percent 3" xfId="18"/>
    <cellStyle name="Percent 4" xfId="25"/>
    <cellStyle name="Percent 5" xfId="28"/>
  </cellStyles>
  <dxfs count="2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sz val="11"/>
      </font>
    </dxf>
    <dxf>
      <font>
        <name val="Calibri"/>
        <scheme val="minor"/>
      </font>
    </dxf>
    <dxf>
      <numFmt numFmtId="1" formatCode="0"/>
    </dxf>
    <dxf>
      <font>
        <sz val="11"/>
      </font>
    </dxf>
    <dxf>
      <font>
        <name val="Calibri"/>
        <scheme val="minor"/>
      </font>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System Curves</a:t>
            </a:r>
          </a:p>
        </c:rich>
      </c:tx>
    </c:title>
    <c:plotArea>
      <c:layout>
        <c:manualLayout>
          <c:layoutTarget val="inner"/>
          <c:xMode val="edge"/>
          <c:yMode val="edge"/>
          <c:x val="9.485101952853886E-2"/>
          <c:y val="0.11639739302484557"/>
          <c:w val="0.86506010133432643"/>
          <c:h val="0.74678890480565718"/>
        </c:manualLayout>
      </c:layout>
      <c:scatterChart>
        <c:scatterStyle val="smoothMarker"/>
        <c:ser>
          <c:idx val="0"/>
          <c:order val="0"/>
          <c:tx>
            <c:strRef>
              <c:f>'VFD Calculations'!$J$13</c:f>
              <c:strCache>
                <c:ptCount val="1"/>
                <c:pt idx="0">
                  <c:v>Const. Speed HP = -0.000381 GPM^2 + 0.2565 GPM + 22.5</c:v>
                </c:pt>
              </c:strCache>
            </c:strRef>
          </c:tx>
          <c:marker>
            <c:symbol val="none"/>
          </c:marker>
          <c:xVal>
            <c:numRef>
              <c:f>'VFD Calculations'!$C$45:$C$55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xVal>
          <c:yVal>
            <c:numRef>
              <c:f>'VFD Calculations'!$D$45:$D$55</c:f>
              <c:numCache>
                <c:formatCode>_(* #,##0.0_);_(* \(#,##0.0\);_(* "-"??_);_(@_)</c:formatCode>
                <c:ptCount val="11"/>
                <c:pt idx="0">
                  <c:v>22.451314722443463</c:v>
                </c:pt>
                <c:pt idx="1">
                  <c:v>22.451314722443463</c:v>
                </c:pt>
                <c:pt idx="2">
                  <c:v>22.451314722443463</c:v>
                </c:pt>
                <c:pt idx="3">
                  <c:v>22.451314722443463</c:v>
                </c:pt>
                <c:pt idx="4">
                  <c:v>22.451314722443463</c:v>
                </c:pt>
                <c:pt idx="5">
                  <c:v>22.451314722443463</c:v>
                </c:pt>
                <c:pt idx="6">
                  <c:v>22.451314722443463</c:v>
                </c:pt>
                <c:pt idx="7">
                  <c:v>22.451314722443463</c:v>
                </c:pt>
                <c:pt idx="8">
                  <c:v>22.451314722443463</c:v>
                </c:pt>
                <c:pt idx="9">
                  <c:v>22.451314722443463</c:v>
                </c:pt>
                <c:pt idx="10">
                  <c:v>22.451314722443463</c:v>
                </c:pt>
              </c:numCache>
            </c:numRef>
          </c:yVal>
          <c:smooth val="1"/>
        </c:ser>
        <c:ser>
          <c:idx val="1"/>
          <c:order val="1"/>
          <c:tx>
            <c:strRef>
              <c:f>'VFD Calculations'!$J$21</c:f>
              <c:strCache>
                <c:ptCount val="1"/>
                <c:pt idx="0">
                  <c:v>VFD HP = 0.000000 GPM^2 + 0.0000 GPM + 0.0</c:v>
                </c:pt>
              </c:strCache>
            </c:strRef>
          </c:tx>
          <c:marker>
            <c:symbol val="none"/>
          </c:marker>
          <c:xVal>
            <c:numRef>
              <c:f>'VFD Calculations'!$C$45:$C$55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xVal>
          <c:yVal>
            <c:numRef>
              <c:f>'VFD Calculations'!$E$45:$E$55</c:f>
              <c:numCache>
                <c:formatCode>_(* #,##0.0_);_(* \(#,##0.0\);_(* "-"??_);_(@_)</c:formatCode>
                <c:ptCount val="11"/>
                <c:pt idx="0">
                  <c:v>0</c:v>
                </c:pt>
                <c:pt idx="1">
                  <c:v>0</c:v>
                </c:pt>
                <c:pt idx="2">
                  <c:v>0</c:v>
                </c:pt>
                <c:pt idx="3">
                  <c:v>0</c:v>
                </c:pt>
                <c:pt idx="4">
                  <c:v>0</c:v>
                </c:pt>
                <c:pt idx="5">
                  <c:v>0</c:v>
                </c:pt>
                <c:pt idx="6">
                  <c:v>0</c:v>
                </c:pt>
                <c:pt idx="7">
                  <c:v>0</c:v>
                </c:pt>
                <c:pt idx="8">
                  <c:v>0</c:v>
                </c:pt>
                <c:pt idx="9">
                  <c:v>0</c:v>
                </c:pt>
                <c:pt idx="10">
                  <c:v>0</c:v>
                </c:pt>
              </c:numCache>
            </c:numRef>
          </c:yVal>
          <c:smooth val="1"/>
        </c:ser>
        <c:axId val="89796992"/>
        <c:axId val="89798912"/>
      </c:scatterChart>
      <c:valAx>
        <c:axId val="89796992"/>
        <c:scaling>
          <c:orientation val="minMax"/>
          <c:min val="0"/>
        </c:scaling>
        <c:axPos val="b"/>
        <c:title>
          <c:tx>
            <c:rich>
              <a:bodyPr rot="0" anchor="b" anchorCtr="1"/>
              <a:lstStyle/>
              <a:p>
                <a:pPr>
                  <a:defRPr sz="1200"/>
                </a:pPr>
                <a:r>
                  <a:rPr lang="en-US" sz="1200"/>
                  <a:t>GPM</a:t>
                </a:r>
              </a:p>
            </c:rich>
          </c:tx>
        </c:title>
        <c:numFmt formatCode="General" sourceLinked="1"/>
        <c:tickLblPos val="nextTo"/>
        <c:txPr>
          <a:bodyPr/>
          <a:lstStyle/>
          <a:p>
            <a:pPr>
              <a:defRPr sz="1200"/>
            </a:pPr>
            <a:endParaRPr lang="en-US"/>
          </a:p>
        </c:txPr>
        <c:crossAx val="89798912"/>
        <c:crosses val="autoZero"/>
        <c:crossBetween val="midCat"/>
      </c:valAx>
      <c:valAx>
        <c:axId val="89798912"/>
        <c:scaling>
          <c:orientation val="minMax"/>
          <c:min val="0"/>
        </c:scaling>
        <c:axPos val="l"/>
        <c:majorGridlines/>
        <c:title>
          <c:tx>
            <c:rich>
              <a:bodyPr rot="-5400000" vert="horz"/>
              <a:lstStyle/>
              <a:p>
                <a:pPr>
                  <a:defRPr/>
                </a:pPr>
                <a:r>
                  <a:rPr lang="en-US"/>
                  <a:t>Pump HP</a:t>
                </a:r>
              </a:p>
            </c:rich>
          </c:tx>
        </c:title>
        <c:numFmt formatCode="#,##0" sourceLinked="0"/>
        <c:tickLblPos val="nextTo"/>
        <c:txPr>
          <a:bodyPr/>
          <a:lstStyle/>
          <a:p>
            <a:pPr>
              <a:defRPr sz="1200"/>
            </a:pPr>
            <a:endParaRPr lang="en-US"/>
          </a:p>
        </c:txPr>
        <c:crossAx val="89796992"/>
        <c:crosses val="autoZero"/>
        <c:crossBetween val="midCat"/>
      </c:valAx>
    </c:plotArea>
    <c:legend>
      <c:legendPos val="r"/>
      <c:layout>
        <c:manualLayout>
          <c:xMode val="edge"/>
          <c:yMode val="edge"/>
          <c:x val="0.29527539920432355"/>
          <c:y val="0.66451685748630474"/>
          <c:w val="0.60032855656204664"/>
          <c:h val="0.17033685919646796"/>
        </c:manualLayout>
      </c:layout>
      <c:spPr>
        <a:solidFill>
          <a:schemeClr val="bg1"/>
        </a:solidFill>
      </c:spPr>
    </c:legend>
    <c:plotVisOnly val="1"/>
  </c:chart>
  <c:spPr>
    <a:ln>
      <a:noFill/>
    </a:ln>
  </c:spPr>
  <c:printSettings>
    <c:headerFooter/>
    <c:pageMargins b="0.75000000000000644" l="0.70000000000000062" r="0.70000000000000062" t="0.750000000000006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Flow Profile</a:t>
            </a:r>
          </a:p>
        </c:rich>
      </c:tx>
    </c:title>
    <c:plotArea>
      <c:layout/>
      <c:barChart>
        <c:barDir val="col"/>
        <c:grouping val="clustered"/>
        <c:ser>
          <c:idx val="0"/>
          <c:order val="0"/>
          <c:tx>
            <c:strRef>
              <c:f>'VFD Calculations'!$A$43</c:f>
              <c:strCache>
                <c:ptCount val="1"/>
                <c:pt idx="0">
                  <c:v>% Time</c:v>
                </c:pt>
              </c:strCache>
            </c:strRef>
          </c:tx>
          <c:dLbls>
            <c:showVal val="1"/>
          </c:dLbls>
          <c:cat>
            <c:strRef>
              <c:f>'VFD Calculations'!$B$44:$B$55</c:f>
              <c:strCache>
                <c:ptCount val="12"/>
                <c:pt idx="0">
                  <c:v>Pump OFF</c:v>
                </c:pt>
                <c:pt idx="1">
                  <c:v>0%</c:v>
                </c:pt>
                <c:pt idx="2">
                  <c:v>10%</c:v>
                </c:pt>
                <c:pt idx="3">
                  <c:v>20%</c:v>
                </c:pt>
                <c:pt idx="4">
                  <c:v>30%</c:v>
                </c:pt>
                <c:pt idx="5">
                  <c:v>40%</c:v>
                </c:pt>
                <c:pt idx="6">
                  <c:v>50%</c:v>
                </c:pt>
                <c:pt idx="7">
                  <c:v>60%</c:v>
                </c:pt>
                <c:pt idx="8">
                  <c:v>70%</c:v>
                </c:pt>
                <c:pt idx="9">
                  <c:v>80%</c:v>
                </c:pt>
                <c:pt idx="10">
                  <c:v>90%</c:v>
                </c:pt>
                <c:pt idx="11">
                  <c:v>100%</c:v>
                </c:pt>
              </c:strCache>
            </c:strRef>
          </c:cat>
          <c:val>
            <c:numRef>
              <c:f>'VFD Calculations'!$A$44:$A$55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axId val="89818624"/>
        <c:axId val="89820544"/>
      </c:barChart>
      <c:catAx>
        <c:axId val="89818624"/>
        <c:scaling>
          <c:orientation val="minMax"/>
        </c:scaling>
        <c:axPos val="b"/>
        <c:title>
          <c:tx>
            <c:rich>
              <a:bodyPr/>
              <a:lstStyle/>
              <a:p>
                <a:pPr>
                  <a:defRPr/>
                </a:pPr>
                <a:r>
                  <a:rPr lang="en-US"/>
                  <a:t>% Flow</a:t>
                </a:r>
              </a:p>
            </c:rich>
          </c:tx>
        </c:title>
        <c:numFmt formatCode="0%" sourceLinked="1"/>
        <c:tickLblPos val="nextTo"/>
        <c:crossAx val="89820544"/>
        <c:crosses val="autoZero"/>
        <c:auto val="1"/>
        <c:lblAlgn val="ctr"/>
        <c:lblOffset val="100"/>
      </c:catAx>
      <c:valAx>
        <c:axId val="89820544"/>
        <c:scaling>
          <c:orientation val="minMax"/>
        </c:scaling>
        <c:axPos val="l"/>
        <c:majorGridlines/>
        <c:title>
          <c:tx>
            <c:rich>
              <a:bodyPr rot="-5400000" vert="horz"/>
              <a:lstStyle/>
              <a:p>
                <a:pPr>
                  <a:defRPr/>
                </a:pPr>
                <a:r>
                  <a:rPr lang="en-US"/>
                  <a:t>% Time</a:t>
                </a:r>
              </a:p>
            </c:rich>
          </c:tx>
        </c:title>
        <c:numFmt formatCode="0%" sourceLinked="1"/>
        <c:tickLblPos val="nextTo"/>
        <c:crossAx val="89818624"/>
        <c:crosses val="autoZero"/>
        <c:crossBetween val="between"/>
      </c:valAx>
    </c:plotArea>
    <c:plotVisOnly val="1"/>
  </c:chart>
  <c:spPr>
    <a:ln>
      <a:noFill/>
    </a:ln>
  </c:spPr>
  <c:printSettings>
    <c:headerFooter/>
    <c:pageMargins b="0.75000000000000566" l="0.70000000000000062" r="0.70000000000000062" t="0.750000000000005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6.3350273540738133E-2"/>
          <c:y val="2.2429332697049317E-2"/>
          <c:w val="0.81764781859384761"/>
          <c:h val="0.8953769187942402"/>
        </c:manualLayout>
      </c:layout>
      <c:lineChart>
        <c:grouping val="standard"/>
        <c:ser>
          <c:idx val="0"/>
          <c:order val="0"/>
          <c:tx>
            <c:strRef>
              <c:f>'Pivot Tables'!$Q$4</c:f>
              <c:strCache>
                <c:ptCount val="1"/>
                <c:pt idx="0">
                  <c:v>Q1</c:v>
                </c:pt>
              </c:strCache>
            </c:strRef>
          </c:tx>
          <c:spPr>
            <a:ln>
              <a:noFill/>
            </a:ln>
          </c:spPr>
          <c:marker>
            <c:symbol val="none"/>
          </c:marker>
          <c:cat>
            <c:strRef>
              <c:f>'Pivot Tables'!$P$5:$P$11</c:f>
              <c:strCache>
                <c:ptCount val="7"/>
                <c:pt idx="0">
                  <c:v>April</c:v>
                </c:pt>
                <c:pt idx="1">
                  <c:v>May</c:v>
                </c:pt>
                <c:pt idx="2">
                  <c:v>June</c:v>
                </c:pt>
                <c:pt idx="3">
                  <c:v>July</c:v>
                </c:pt>
                <c:pt idx="4">
                  <c:v>August</c:v>
                </c:pt>
                <c:pt idx="5">
                  <c:v>September</c:v>
                </c:pt>
                <c:pt idx="6">
                  <c:v>October</c:v>
                </c:pt>
              </c:strCache>
            </c:strRef>
          </c:cat>
          <c:val>
            <c:numRef>
              <c:f>'Pivot Tables'!$Q$5:$Q$11</c:f>
              <c:numCache>
                <c:formatCode>0.0</c:formatCode>
                <c:ptCount val="7"/>
                <c:pt idx="0">
                  <c:v>1.0393258426966292</c:v>
                </c:pt>
                <c:pt idx="1">
                  <c:v>47.440476190476197</c:v>
                </c:pt>
                <c:pt idx="2">
                  <c:v>50.3125</c:v>
                </c:pt>
                <c:pt idx="3">
                  <c:v>54.310344827586214</c:v>
                </c:pt>
                <c:pt idx="4">
                  <c:v>53.18181818181818</c:v>
                </c:pt>
                <c:pt idx="5">
                  <c:v>51.166666666666664</c:v>
                </c:pt>
                <c:pt idx="6">
                  <c:v>27.083333333333332</c:v>
                </c:pt>
              </c:numCache>
            </c:numRef>
          </c:val>
          <c:smooth val="1"/>
        </c:ser>
        <c:ser>
          <c:idx val="5"/>
          <c:order val="1"/>
          <c:tx>
            <c:strRef>
              <c:f>'Pivot Tables'!$V$4</c:f>
              <c:strCache>
                <c:ptCount val="1"/>
                <c:pt idx="0">
                  <c:v>Baseline</c:v>
                </c:pt>
              </c:strCache>
            </c:strRef>
          </c:tx>
          <c:marker>
            <c:symbol val="none"/>
          </c:marker>
          <c:val>
            <c:numRef>
              <c:f>'Pivot Tables'!$V$5:$V$11</c:f>
              <c:numCache>
                <c:formatCode>0.0</c:formatCode>
                <c:ptCount val="7"/>
                <c:pt idx="0">
                  <c:v>2.1731109522884218</c:v>
                </c:pt>
                <c:pt idx="1">
                  <c:v>48.641071428571436</c:v>
                </c:pt>
                <c:pt idx="2">
                  <c:v>50.668686868686869</c:v>
                </c:pt>
                <c:pt idx="3">
                  <c:v>53.901622718052735</c:v>
                </c:pt>
                <c:pt idx="4">
                  <c:v>53.349246432579761</c:v>
                </c:pt>
                <c:pt idx="5">
                  <c:v>51.499022482893452</c:v>
                </c:pt>
                <c:pt idx="6">
                  <c:v>30.240185503533674</c:v>
                </c:pt>
              </c:numCache>
            </c:numRef>
          </c:val>
        </c:ser>
        <c:ser>
          <c:idx val="6"/>
          <c:order val="2"/>
          <c:tx>
            <c:strRef>
              <c:f>'Pivot Tables'!$G$4</c:f>
              <c:strCache>
                <c:ptCount val="1"/>
                <c:pt idx="0">
                  <c:v>2012</c:v>
                </c:pt>
              </c:strCache>
            </c:strRef>
          </c:tx>
          <c:marker>
            <c:symbol val="none"/>
          </c:marker>
          <c:val>
            <c:numRef>
              <c:f>'Pivot Tables'!$G$5:$G$8</c:f>
              <c:numCache>
                <c:formatCode>General</c:formatCode>
                <c:ptCount val="4"/>
                <c:pt idx="0" formatCode="0.00">
                  <c:v>0</c:v>
                </c:pt>
                <c:pt idx="1">
                  <c:v>56.551724137931039</c:v>
                </c:pt>
                <c:pt idx="2">
                  <c:v>46.222222222222221</c:v>
                </c:pt>
                <c:pt idx="3">
                  <c:v>25.46875</c:v>
                </c:pt>
              </c:numCache>
            </c:numRef>
          </c:val>
        </c:ser>
        <c:ser>
          <c:idx val="7"/>
          <c:order val="3"/>
          <c:tx>
            <c:strRef>
              <c:f>'Pivot Tables'!$X$4</c:f>
              <c:strCache>
                <c:ptCount val="1"/>
                <c:pt idx="0">
                  <c:v>Deemed</c:v>
                </c:pt>
              </c:strCache>
            </c:strRef>
          </c:tx>
          <c:marker>
            <c:symbol val="none"/>
          </c:marker>
          <c:val>
            <c:numRef>
              <c:f>'Pivot Tables'!$X$5:$X$11</c:f>
              <c:numCache>
                <c:formatCode>0.00</c:formatCode>
                <c:ptCount val="7"/>
                <c:pt idx="0">
                  <c:v>2.1731109522884218</c:v>
                </c:pt>
                <c:pt idx="1">
                  <c:v>48.641071428571436</c:v>
                </c:pt>
                <c:pt idx="2">
                  <c:v>50.668686868686869</c:v>
                </c:pt>
                <c:pt idx="3">
                  <c:v>53.901622718052735</c:v>
                </c:pt>
                <c:pt idx="4">
                  <c:v>53.349246432579761</c:v>
                </c:pt>
                <c:pt idx="5">
                  <c:v>51.499022482893452</c:v>
                </c:pt>
                <c:pt idx="6">
                  <c:v>30.240185503533674</c:v>
                </c:pt>
              </c:numCache>
            </c:numRef>
          </c:val>
        </c:ser>
        <c:ser>
          <c:idx val="8"/>
          <c:order val="4"/>
          <c:tx>
            <c:strRef>
              <c:f>'Pivot Tables'!$Y$4</c:f>
              <c:strCache>
                <c:ptCount val="1"/>
                <c:pt idx="0">
                  <c:v>Calculated</c:v>
                </c:pt>
              </c:strCache>
            </c:strRef>
          </c:tx>
          <c:spPr>
            <a:ln cap="rnd">
              <a:round/>
            </a:ln>
          </c:spPr>
          <c:marker>
            <c:symbol val="none"/>
          </c:marker>
          <c:val>
            <c:numRef>
              <c:f>'Pivot Tables'!$Y$5:$Y$11</c:f>
              <c:numCache>
                <c:formatCode>0.00</c:formatCode>
                <c:ptCount val="7"/>
                <c:pt idx="0">
                  <c:v>2.1731109522884218</c:v>
                </c:pt>
                <c:pt idx="1">
                  <c:v>48.641071428571436</c:v>
                </c:pt>
                <c:pt idx="2">
                  <c:v>50.668686868686869</c:v>
                </c:pt>
                <c:pt idx="3">
                  <c:v>53.901622718052735</c:v>
                </c:pt>
                <c:pt idx="4">
                  <c:v>53.349246432579761</c:v>
                </c:pt>
                <c:pt idx="5">
                  <c:v>51.499022482893452</c:v>
                </c:pt>
                <c:pt idx="6">
                  <c:v>30.240185503533674</c:v>
                </c:pt>
              </c:numCache>
            </c:numRef>
          </c:val>
        </c:ser>
        <c:ser>
          <c:idx val="1"/>
          <c:order val="5"/>
          <c:tx>
            <c:strRef>
              <c:f>'Pivot Tables'!$R$4</c:f>
              <c:strCache>
                <c:ptCount val="1"/>
                <c:pt idx="0">
                  <c:v>Min</c:v>
                </c:pt>
              </c:strCache>
            </c:strRef>
          </c:tx>
          <c:spPr>
            <a:ln>
              <a:noFill/>
            </a:ln>
          </c:spPr>
          <c:marker>
            <c:spPr>
              <a:solidFill>
                <a:schemeClr val="accent3">
                  <a:lumMod val="75000"/>
                </a:schemeClr>
              </a:solidFill>
              <a:ln>
                <a:solidFill>
                  <a:schemeClr val="accent3">
                    <a:lumMod val="75000"/>
                  </a:schemeClr>
                </a:solidFill>
              </a:ln>
            </c:spPr>
          </c:marker>
          <c:val>
            <c:numRef>
              <c:f>'Pivot Tables'!$R$5:$R$11</c:f>
              <c:numCache>
                <c:formatCode>0.0</c:formatCode>
                <c:ptCount val="7"/>
                <c:pt idx="0">
                  <c:v>1.0256410256410258</c:v>
                </c:pt>
                <c:pt idx="1">
                  <c:v>47.34375</c:v>
                </c:pt>
                <c:pt idx="2">
                  <c:v>45.94444444444445</c:v>
                </c:pt>
                <c:pt idx="3">
                  <c:v>49.852941176470587</c:v>
                </c:pt>
                <c:pt idx="4">
                  <c:v>50.833333333333336</c:v>
                </c:pt>
                <c:pt idx="5">
                  <c:v>48.55555555555555</c:v>
                </c:pt>
                <c:pt idx="6">
                  <c:v>24.195402298850578</c:v>
                </c:pt>
              </c:numCache>
            </c:numRef>
          </c:val>
          <c:smooth val="1"/>
        </c:ser>
        <c:ser>
          <c:idx val="2"/>
          <c:order val="6"/>
          <c:tx>
            <c:strRef>
              <c:f>'Pivot Tables'!$S$4</c:f>
              <c:strCache>
                <c:ptCount val="1"/>
                <c:pt idx="0">
                  <c:v>Median</c:v>
                </c:pt>
              </c:strCache>
            </c:strRef>
          </c:tx>
          <c:spPr>
            <a:ln>
              <a:noFill/>
            </a:ln>
          </c:spPr>
          <c:marker>
            <c:symbol val="triangle"/>
            <c:size val="7"/>
            <c:spPr>
              <a:solidFill>
                <a:schemeClr val="accent6">
                  <a:lumMod val="75000"/>
                </a:schemeClr>
              </a:solidFill>
              <a:ln>
                <a:solidFill>
                  <a:schemeClr val="accent6">
                    <a:lumMod val="75000"/>
                  </a:schemeClr>
                </a:solidFill>
              </a:ln>
            </c:spPr>
          </c:marker>
          <c:val>
            <c:numRef>
              <c:f>'Pivot Tables'!$S$5:$S$11</c:f>
              <c:numCache>
                <c:formatCode>0.0</c:formatCode>
                <c:ptCount val="7"/>
                <c:pt idx="0">
                  <c:v>2.1657250470809792</c:v>
                </c:pt>
                <c:pt idx="1">
                  <c:v>48.86904761904762</c:v>
                </c:pt>
                <c:pt idx="2">
                  <c:v>51.666666666666664</c:v>
                </c:pt>
                <c:pt idx="3">
                  <c:v>54.509803921568626</c:v>
                </c:pt>
                <c:pt idx="4">
                  <c:v>53.43434343434344</c:v>
                </c:pt>
                <c:pt idx="5">
                  <c:v>52.020202020202021</c:v>
                </c:pt>
                <c:pt idx="6">
                  <c:v>32.365591397849464</c:v>
                </c:pt>
              </c:numCache>
            </c:numRef>
          </c:val>
          <c:smooth val="1"/>
        </c:ser>
        <c:ser>
          <c:idx val="3"/>
          <c:order val="7"/>
          <c:tx>
            <c:strRef>
              <c:f>'Pivot Tables'!$T$4</c:f>
              <c:strCache>
                <c:ptCount val="1"/>
                <c:pt idx="0">
                  <c:v>Max</c:v>
                </c:pt>
              </c:strCache>
            </c:strRef>
          </c:tx>
          <c:spPr>
            <a:ln>
              <a:noFill/>
            </a:ln>
          </c:spPr>
          <c:marker>
            <c:symbol val="square"/>
            <c:size val="7"/>
            <c:spPr>
              <a:solidFill>
                <a:schemeClr val="accent2">
                  <a:lumMod val="75000"/>
                </a:schemeClr>
              </a:solidFill>
              <a:ln>
                <a:solidFill>
                  <a:schemeClr val="accent2">
                    <a:lumMod val="75000"/>
                  </a:schemeClr>
                </a:solidFill>
              </a:ln>
            </c:spPr>
          </c:marker>
          <c:val>
            <c:numRef>
              <c:f>'Pivot Tables'!$T$5:$T$11</c:f>
              <c:numCache>
                <c:formatCode>0.0</c:formatCode>
                <c:ptCount val="7"/>
                <c:pt idx="0">
                  <c:v>4.3071161048689133</c:v>
                </c:pt>
                <c:pt idx="1">
                  <c:v>50.052083333333336</c:v>
                </c:pt>
                <c:pt idx="2">
                  <c:v>53.232323232323232</c:v>
                </c:pt>
                <c:pt idx="3">
                  <c:v>55.490196078431374</c:v>
                </c:pt>
                <c:pt idx="4">
                  <c:v>55.308641975308639</c:v>
                </c:pt>
                <c:pt idx="5">
                  <c:v>53.27956989247312</c:v>
                </c:pt>
                <c:pt idx="6">
                  <c:v>34.425287356321839</c:v>
                </c:pt>
              </c:numCache>
            </c:numRef>
          </c:val>
          <c:smooth val="1"/>
        </c:ser>
        <c:ser>
          <c:idx val="4"/>
          <c:order val="8"/>
          <c:tx>
            <c:strRef>
              <c:f>'Pivot Tables'!$U$4</c:f>
              <c:strCache>
                <c:ptCount val="1"/>
                <c:pt idx="0">
                  <c:v>Q3</c:v>
                </c:pt>
              </c:strCache>
            </c:strRef>
          </c:tx>
          <c:spPr>
            <a:ln>
              <a:noFill/>
            </a:ln>
          </c:spPr>
          <c:marker>
            <c:symbol val="none"/>
          </c:marker>
          <c:val>
            <c:numRef>
              <c:f>'Pivot Tables'!$U$5:$U$11</c:f>
              <c:numCache>
                <c:formatCode>0.0</c:formatCode>
                <c:ptCount val="7"/>
                <c:pt idx="0">
                  <c:v>2.3277467411545625</c:v>
                </c:pt>
                <c:pt idx="1">
                  <c:v>49.5</c:v>
                </c:pt>
                <c:pt idx="2">
                  <c:v>52.1875</c:v>
                </c:pt>
                <c:pt idx="3">
                  <c:v>55.344827586206897</c:v>
                </c:pt>
                <c:pt idx="4">
                  <c:v>53.988095238095241</c:v>
                </c:pt>
                <c:pt idx="5">
                  <c:v>52.473118279569889</c:v>
                </c:pt>
                <c:pt idx="6">
                  <c:v>33.131313131313128</c:v>
                </c:pt>
              </c:numCache>
            </c:numRef>
          </c:val>
          <c:smooth val="1"/>
        </c:ser>
        <c:hiLowLines/>
        <c:upDownBars>
          <c:gapWidth val="150"/>
          <c:upBars>
            <c:spPr>
              <a:noFill/>
            </c:spPr>
          </c:upBars>
          <c:downBars/>
        </c:upDownBars>
        <c:marker val="1"/>
        <c:axId val="89997696"/>
        <c:axId val="89999616"/>
      </c:lineChart>
      <c:catAx>
        <c:axId val="89997696"/>
        <c:scaling>
          <c:orientation val="minMax"/>
        </c:scaling>
        <c:axPos val="b"/>
        <c:title>
          <c:tx>
            <c:rich>
              <a:bodyPr/>
              <a:lstStyle/>
              <a:p>
                <a:pPr>
                  <a:defRPr sz="1200"/>
                </a:pPr>
                <a:r>
                  <a:rPr lang="en-US" sz="1200"/>
                  <a:t>Month</a:t>
                </a:r>
              </a:p>
            </c:rich>
          </c:tx>
        </c:title>
        <c:tickLblPos val="nextTo"/>
        <c:txPr>
          <a:bodyPr/>
          <a:lstStyle/>
          <a:p>
            <a:pPr>
              <a:defRPr sz="1200"/>
            </a:pPr>
            <a:endParaRPr lang="en-US"/>
          </a:p>
        </c:txPr>
        <c:crossAx val="89999616"/>
        <c:crosses val="autoZero"/>
        <c:auto val="1"/>
        <c:lblAlgn val="ctr"/>
        <c:lblOffset val="100"/>
      </c:catAx>
      <c:valAx>
        <c:axId val="89999616"/>
        <c:scaling>
          <c:orientation val="minMax"/>
        </c:scaling>
        <c:axPos val="l"/>
        <c:majorGridlines/>
        <c:title>
          <c:tx>
            <c:rich>
              <a:bodyPr rot="-5400000" vert="horz"/>
              <a:lstStyle/>
              <a:p>
                <a:pPr>
                  <a:defRPr sz="1200"/>
                </a:pPr>
                <a:r>
                  <a:rPr lang="en-US" sz="1200"/>
                  <a:t>Average</a:t>
                </a:r>
                <a:r>
                  <a:rPr lang="en-US" sz="1200" baseline="0"/>
                  <a:t> Power, kW</a:t>
                </a:r>
                <a:endParaRPr lang="en-US" sz="1200"/>
              </a:p>
            </c:rich>
          </c:tx>
        </c:title>
        <c:numFmt formatCode="0" sourceLinked="0"/>
        <c:tickLblPos val="nextTo"/>
        <c:txPr>
          <a:bodyPr/>
          <a:lstStyle/>
          <a:p>
            <a:pPr>
              <a:defRPr sz="1200"/>
            </a:pPr>
            <a:endParaRPr lang="en-US"/>
          </a:p>
        </c:txPr>
        <c:crossAx val="89997696"/>
        <c:crosses val="autoZero"/>
        <c:crossBetween val="between"/>
      </c:valAx>
    </c:plotArea>
    <c:legend>
      <c:legendPos val="r"/>
      <c:legendEntry>
        <c:idx val="0"/>
        <c:delete val="1"/>
      </c:legendEntry>
      <c:legendEntry>
        <c:idx val="8"/>
        <c:delete val="1"/>
      </c:legendEntry>
      <c:layout>
        <c:manualLayout>
          <c:xMode val="edge"/>
          <c:yMode val="edge"/>
          <c:x val="0.88392989572821212"/>
          <c:y val="0.37214093692833849"/>
          <c:w val="0.10727469349089991"/>
          <c:h val="0.31228362363795525"/>
        </c:manualLayout>
      </c:layout>
    </c:legend>
    <c:plotVisOnly val="1"/>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codeName="Chart7"/>
  <sheetViews>
    <sheetView zoomScale="118"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104774</xdr:colOff>
      <xdr:row>45</xdr:row>
      <xdr:rowOff>85725</xdr:rowOff>
    </xdr:from>
    <xdr:to>
      <xdr:col>14</xdr:col>
      <xdr:colOff>723900</xdr:colOff>
      <xdr:row>93</xdr:row>
      <xdr:rowOff>161925</xdr:rowOff>
    </xdr:to>
    <xdr:sp macro="" textlink="">
      <xdr:nvSpPr>
        <xdr:cNvPr id="3" name="Rectangle 2"/>
        <xdr:cNvSpPr/>
      </xdr:nvSpPr>
      <xdr:spPr>
        <a:xfrm>
          <a:off x="104774" y="9458325"/>
          <a:ext cx="6162676" cy="9277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1800" b="1">
              <a:solidFill>
                <a:schemeClr val="tx1"/>
              </a:solidFill>
              <a:latin typeface="+mn-lt"/>
              <a:ea typeface="+mn-ea"/>
              <a:cs typeface="+mn-cs"/>
            </a:rPr>
            <a:t>RESOURCE$MART PROGRAM</a:t>
          </a:r>
          <a:endParaRPr lang="en-US" sz="1800">
            <a:solidFill>
              <a:schemeClr val="tx1"/>
            </a:solidFill>
            <a:latin typeface="+mn-lt"/>
            <a:ea typeface="+mn-ea"/>
            <a:cs typeface="+mn-cs"/>
          </a:endParaRPr>
        </a:p>
        <a:p>
          <a:pPr algn="ctr"/>
          <a:r>
            <a:rPr lang="en-US" sz="1800" b="1" u="sng">
              <a:solidFill>
                <a:schemeClr val="tx1"/>
              </a:solidFill>
              <a:latin typeface="+mn-lt"/>
              <a:ea typeface="+mn-ea"/>
              <a:cs typeface="+mn-cs"/>
            </a:rPr>
            <a:t>Implementation Agreement</a:t>
          </a:r>
          <a:endParaRPr lang="en-US" sz="1800">
            <a:solidFill>
              <a:schemeClr val="tx1"/>
            </a:solidFill>
            <a:latin typeface="+mn-lt"/>
            <a:ea typeface="+mn-ea"/>
            <a:cs typeface="+mn-cs"/>
          </a:endParaRPr>
        </a:p>
        <a:p>
          <a:r>
            <a:rPr lang="en-US" sz="1100" b="1" u="none" strike="noStrike">
              <a:solidFill>
                <a:schemeClr val="tx1"/>
              </a:solidFill>
              <a:latin typeface="+mn-lt"/>
              <a:ea typeface="+mn-ea"/>
              <a:cs typeface="+mn-cs"/>
            </a:rPr>
            <a:t> </a:t>
          </a:r>
          <a:endParaRPr lang="en-US" sz="1100">
            <a:solidFill>
              <a:schemeClr val="tx1"/>
            </a:solidFill>
            <a:latin typeface="+mn-lt"/>
            <a:ea typeface="+mn-ea"/>
            <a:cs typeface="+mn-cs"/>
          </a:endParaRPr>
        </a:p>
        <a:p>
          <a:r>
            <a:rPr lang="en-US" sz="1000" i="1">
              <a:solidFill>
                <a:schemeClr val="tx1"/>
              </a:solidFill>
              <a:latin typeface="+mn-lt"/>
              <a:ea typeface="+mn-ea"/>
              <a:cs typeface="+mn-cs"/>
            </a:rPr>
            <a:t>This agreement is between the </a:t>
          </a:r>
          <a:r>
            <a:rPr lang="en-US" sz="1000" b="1">
              <a:solidFill>
                <a:schemeClr val="tx1"/>
              </a:solidFill>
              <a:latin typeface="+mn-lt"/>
              <a:ea typeface="+mn-ea"/>
              <a:cs typeface="+mn-cs"/>
            </a:rPr>
            <a:t>Recipient</a:t>
          </a:r>
          <a:r>
            <a:rPr lang="en-US" sz="1000" i="1">
              <a:solidFill>
                <a:schemeClr val="tx1"/>
              </a:solidFill>
              <a:latin typeface="+mn-lt"/>
              <a:ea typeface="+mn-ea"/>
              <a:cs typeface="+mn-cs"/>
            </a:rPr>
            <a:t> identified on this Incentive Application and</a:t>
          </a:r>
          <a:r>
            <a:rPr lang="en-US" sz="1000">
              <a:solidFill>
                <a:schemeClr val="tx1"/>
              </a:solidFill>
              <a:latin typeface="+mn-lt"/>
              <a:ea typeface="+mn-ea"/>
              <a:cs typeface="+mn-cs"/>
            </a:rPr>
            <a:t> </a:t>
          </a:r>
          <a:r>
            <a:rPr lang="en-US" sz="1000" b="1">
              <a:solidFill>
                <a:schemeClr val="tx1"/>
              </a:solidFill>
              <a:latin typeface="+mn-lt"/>
              <a:ea typeface="+mn-ea"/>
              <a:cs typeface="+mn-cs"/>
            </a:rPr>
            <a:t>Public Utility District No. 1 of Chelan County (PUD).  </a:t>
          </a:r>
        </a:p>
        <a:p>
          <a:endParaRPr lang="en-US" sz="1000">
            <a:solidFill>
              <a:schemeClr val="tx1"/>
            </a:solidFill>
            <a:latin typeface="+mn-lt"/>
            <a:ea typeface="+mn-ea"/>
            <a:cs typeface="+mn-cs"/>
          </a:endParaRPr>
        </a:p>
        <a:p>
          <a:r>
            <a:rPr lang="en-US" sz="1000" b="1">
              <a:solidFill>
                <a:schemeClr val="tx1"/>
              </a:solidFill>
              <a:latin typeface="+mn-lt"/>
              <a:ea typeface="+mn-ea"/>
              <a:cs typeface="+mn-cs"/>
            </a:rPr>
            <a:t>WHEREAS</a:t>
          </a:r>
          <a:r>
            <a:rPr lang="en-US" sz="1000">
              <a:solidFill>
                <a:schemeClr val="tx1"/>
              </a:solidFill>
              <a:latin typeface="+mn-lt"/>
              <a:ea typeface="+mn-ea"/>
              <a:cs typeface="+mn-cs"/>
            </a:rPr>
            <a:t>, the PUD is offering the Resource$mart program in order to acquire cost effective electric resources from its rate schedule 2, 3, 5 and 30 customers. This agreement is valid only if the recipient is an existing PUD customer and is legally authorized to construct, remodel or otherwise make improvements to the facility described on this form. </a:t>
          </a:r>
        </a:p>
        <a:p>
          <a:endParaRPr lang="en-US" sz="1000">
            <a:solidFill>
              <a:schemeClr val="tx1"/>
            </a:solidFill>
            <a:latin typeface="+mn-lt"/>
            <a:ea typeface="+mn-ea"/>
            <a:cs typeface="+mn-cs"/>
          </a:endParaRPr>
        </a:p>
        <a:p>
          <a:r>
            <a:rPr lang="en-US" sz="1000" b="1">
              <a:solidFill>
                <a:schemeClr val="tx1"/>
              </a:solidFill>
              <a:latin typeface="+mn-lt"/>
              <a:ea typeface="+mn-ea"/>
              <a:cs typeface="+mn-cs"/>
            </a:rPr>
            <a:t>Now, therefore, in consideration of the mutual covenants contained herein, the PUD and the recipient agree as follows:</a:t>
          </a:r>
        </a:p>
        <a:p>
          <a:endParaRPr lang="en-US" sz="1000">
            <a:solidFill>
              <a:schemeClr val="tx1"/>
            </a:solidFill>
            <a:latin typeface="+mn-lt"/>
            <a:ea typeface="+mn-ea"/>
            <a:cs typeface="+mn-cs"/>
          </a:endParaRPr>
        </a:p>
        <a:p>
          <a:pPr lvl="0"/>
          <a:r>
            <a:rPr lang="en-US" sz="1000" u="none">
              <a:solidFill>
                <a:schemeClr val="tx1"/>
              </a:solidFill>
              <a:latin typeface="+mn-lt"/>
              <a:ea typeface="+mn-ea"/>
              <a:cs typeface="+mn-cs"/>
            </a:rPr>
            <a:t>1.</a:t>
          </a:r>
          <a:r>
            <a:rPr lang="en-US" sz="1000" u="none" baseline="0">
              <a:solidFill>
                <a:schemeClr val="tx1"/>
              </a:solidFill>
              <a:latin typeface="+mn-lt"/>
              <a:ea typeface="+mn-ea"/>
              <a:cs typeface="+mn-cs"/>
            </a:rPr>
            <a:t>  </a:t>
          </a:r>
          <a:r>
            <a:rPr lang="en-US" sz="1000" u="sng">
              <a:solidFill>
                <a:schemeClr val="tx1"/>
              </a:solidFill>
              <a:latin typeface="+mn-lt"/>
              <a:ea typeface="+mn-ea"/>
              <a:cs typeface="+mn-cs"/>
            </a:rPr>
            <a:t>Payment by PUD.</a:t>
          </a:r>
          <a:r>
            <a:rPr lang="en-US" sz="1000">
              <a:solidFill>
                <a:schemeClr val="tx1"/>
              </a:solidFill>
              <a:latin typeface="+mn-lt"/>
              <a:ea typeface="+mn-ea"/>
              <a:cs typeface="+mn-cs"/>
            </a:rPr>
            <a:t>   PUD agrees to pay Recipient for the acquisition of this electric resource, as identified in the Approved Incentive Application.</a:t>
          </a:r>
        </a:p>
        <a:p>
          <a:pPr lvl="0"/>
          <a:r>
            <a:rPr lang="en-US" sz="1000" u="none">
              <a:solidFill>
                <a:schemeClr val="tx1"/>
              </a:solidFill>
              <a:latin typeface="+mn-lt"/>
              <a:ea typeface="+mn-ea"/>
              <a:cs typeface="+mn-cs"/>
            </a:rPr>
            <a:t>2.</a:t>
          </a:r>
          <a:r>
            <a:rPr lang="en-US" sz="1000" u="none" baseline="0">
              <a:solidFill>
                <a:schemeClr val="tx1"/>
              </a:solidFill>
              <a:latin typeface="+mn-lt"/>
              <a:ea typeface="+mn-ea"/>
              <a:cs typeface="+mn-cs"/>
            </a:rPr>
            <a:t>  </a:t>
          </a:r>
          <a:r>
            <a:rPr lang="en-US" sz="1000" u="sng">
              <a:solidFill>
                <a:schemeClr val="tx1"/>
              </a:solidFill>
              <a:latin typeface="+mn-lt"/>
              <a:ea typeface="+mn-ea"/>
              <a:cs typeface="+mn-cs"/>
            </a:rPr>
            <a:t>Final Installation and Invoice Acceptance.</a:t>
          </a:r>
          <a:r>
            <a:rPr lang="en-US" sz="1000">
              <a:solidFill>
                <a:schemeClr val="tx1"/>
              </a:solidFill>
              <a:latin typeface="+mn-lt"/>
              <a:ea typeface="+mn-ea"/>
              <a:cs typeface="+mn-cs"/>
            </a:rPr>
            <a:t>   Within 90 days of the approval of this application by the PUD, the Recipient shall provide the PUD with all invoices and other requested verification of the costs to install the conservation measures.  Payment terms for the actual units installed are net 30 days from the date the invoice is received by the PUD.  If payment is not received when due, interest shall accrue on the unpaid balance at the rate of twelve (12%) per annum.  All payments are contingent on a verification inspection by a PUD representative to assure conformance with the provisions of this agreement and the proper installation of the energy conservation measures.</a:t>
          </a:r>
        </a:p>
        <a:p>
          <a:pPr lvl="0"/>
          <a:r>
            <a:rPr lang="en-US" sz="1000" u="none">
              <a:solidFill>
                <a:schemeClr val="tx1"/>
              </a:solidFill>
              <a:latin typeface="+mn-lt"/>
              <a:ea typeface="+mn-ea"/>
              <a:cs typeface="+mn-cs"/>
            </a:rPr>
            <a:t>3.  </a:t>
          </a:r>
          <a:r>
            <a:rPr lang="en-US" sz="1000" u="sng">
              <a:solidFill>
                <a:schemeClr val="tx1"/>
              </a:solidFill>
              <a:latin typeface="+mn-lt"/>
              <a:ea typeface="+mn-ea"/>
              <a:cs typeface="+mn-cs"/>
            </a:rPr>
            <a:t>No Third Party Beneficiaries and No Further Obligations by PUD.</a:t>
          </a:r>
          <a:r>
            <a:rPr lang="en-US" sz="1000">
              <a:solidFill>
                <a:schemeClr val="tx1"/>
              </a:solidFill>
              <a:latin typeface="+mn-lt"/>
              <a:ea typeface="+mn-ea"/>
              <a:cs typeface="+mn-cs"/>
            </a:rPr>
            <a:t>  The PUD's sole responsibility is to purchase electric power resources from Recipient that result from the installation of these conservation measures.  The PUD is not a party to any contracts for the purchase or installation of any equipment or measure, or for the actual installation of any measure.   </a:t>
          </a:r>
          <a:r>
            <a:rPr lang="en-US" sz="1000" u="sng">
              <a:solidFill>
                <a:schemeClr val="tx1"/>
              </a:solidFill>
              <a:latin typeface="+mn-lt"/>
              <a:ea typeface="+mn-ea"/>
              <a:cs typeface="+mn-cs"/>
            </a:rPr>
            <a:t>     </a:t>
          </a:r>
          <a:endParaRPr lang="en-US" sz="1000">
            <a:solidFill>
              <a:schemeClr val="tx1"/>
            </a:solidFill>
            <a:latin typeface="+mn-lt"/>
            <a:ea typeface="+mn-ea"/>
            <a:cs typeface="+mn-cs"/>
          </a:endParaRPr>
        </a:p>
        <a:p>
          <a:pPr lvl="0"/>
          <a:r>
            <a:rPr lang="en-US" sz="1000" u="none">
              <a:solidFill>
                <a:schemeClr val="tx1"/>
              </a:solidFill>
              <a:latin typeface="+mn-lt"/>
              <a:ea typeface="+mn-ea"/>
              <a:cs typeface="+mn-cs"/>
            </a:rPr>
            <a:t>4.  </a:t>
          </a:r>
          <a:r>
            <a:rPr lang="en-US" sz="1000" u="sng">
              <a:solidFill>
                <a:schemeClr val="tx1"/>
              </a:solidFill>
              <a:latin typeface="+mn-lt"/>
              <a:ea typeface="+mn-ea"/>
              <a:cs typeface="+mn-cs"/>
            </a:rPr>
            <a:t>Reimbursement of Resource$mart Payments. </a:t>
          </a:r>
          <a:r>
            <a:rPr lang="en-US" sz="1000">
              <a:solidFill>
                <a:schemeClr val="tx1"/>
              </a:solidFill>
              <a:latin typeface="+mn-lt"/>
              <a:ea typeface="+mn-ea"/>
              <a:cs typeface="+mn-cs"/>
            </a:rPr>
            <a:t>  In the event the Recipient removes, does not repair or disables the energy conservation measures within three years after being installed, Recipient shall refund to the PUD an amount equal to the ratio of the remaining time in the three year period when the savings ceased, divided by three.  The amount to be refunded shall be calculated by the PUD and invoiced to Recipient.  Payment is due within 30 days of the invoice date.  If payment is not received when due, interest shall accrue on the unpaid balance at the rate of twelve (12%) per annum. </a:t>
          </a:r>
        </a:p>
        <a:p>
          <a:pPr lvl="0"/>
          <a:r>
            <a:rPr lang="en-US" sz="1000" u="none">
              <a:solidFill>
                <a:schemeClr val="tx1"/>
              </a:solidFill>
              <a:latin typeface="+mn-lt"/>
              <a:ea typeface="+mn-ea"/>
              <a:cs typeface="+mn-cs"/>
            </a:rPr>
            <a:t>5.  </a:t>
          </a:r>
          <a:r>
            <a:rPr lang="en-US" sz="1000" u="sng">
              <a:solidFill>
                <a:schemeClr val="tx1"/>
              </a:solidFill>
              <a:latin typeface="+mn-lt"/>
              <a:ea typeface="+mn-ea"/>
              <a:cs typeface="+mn-cs"/>
            </a:rPr>
            <a:t>No Warranty.</a:t>
          </a:r>
          <a:r>
            <a:rPr lang="en-US" sz="1000">
              <a:solidFill>
                <a:schemeClr val="tx1"/>
              </a:solidFill>
              <a:latin typeface="+mn-lt"/>
              <a:ea typeface="+mn-ea"/>
              <a:cs typeface="+mn-cs"/>
            </a:rPr>
            <a:t>   Recipient acknowledges that, due to the variability of energy use, it is not possible to accurately predict energy savings from installing the energy conservation measures.   The PUD does not warrant to Recipient any level of energy savings.  Customer should independently verify all energy and cost savings calculations, assumptions, and estimates before committing to any equipment purchases under this Resource$mart program.</a:t>
          </a:r>
        </a:p>
        <a:p>
          <a:pPr lvl="0"/>
          <a:r>
            <a:rPr lang="en-US" sz="1000" u="none">
              <a:solidFill>
                <a:schemeClr val="tx1"/>
              </a:solidFill>
              <a:latin typeface="+mn-lt"/>
              <a:ea typeface="+mn-ea"/>
              <a:cs typeface="+mn-cs"/>
            </a:rPr>
            <a:t>6.  </a:t>
          </a:r>
          <a:r>
            <a:rPr lang="en-US" sz="1000" u="sng">
              <a:solidFill>
                <a:schemeClr val="tx1"/>
              </a:solidFill>
              <a:latin typeface="+mn-lt"/>
              <a:ea typeface="+mn-ea"/>
              <a:cs typeface="+mn-cs"/>
            </a:rPr>
            <a:t>Data Collection.</a:t>
          </a:r>
          <a:r>
            <a:rPr lang="en-US" sz="1000">
              <a:solidFill>
                <a:schemeClr val="tx1"/>
              </a:solidFill>
              <a:latin typeface="+mn-lt"/>
              <a:ea typeface="+mn-ea"/>
              <a:cs typeface="+mn-cs"/>
            </a:rPr>
            <a:t>  Recipient agrees to allow the PUD to measure the actual energy savings that occur as a result of installing these conservation measures.  The actual savings findings will not be used in determining the payment or reimbursement levels.  Recipient agrees to allow the PUD access to its facilities for data collection for a period of three years following installation of the conservation measures.</a:t>
          </a:r>
        </a:p>
        <a:p>
          <a:pPr lvl="0"/>
          <a:r>
            <a:rPr lang="en-US" sz="1000" u="none">
              <a:solidFill>
                <a:schemeClr val="tx1"/>
              </a:solidFill>
              <a:latin typeface="+mn-lt"/>
              <a:ea typeface="+mn-ea"/>
              <a:cs typeface="+mn-cs"/>
            </a:rPr>
            <a:t>7.  </a:t>
          </a:r>
          <a:r>
            <a:rPr lang="en-US" sz="1000" u="sng">
              <a:solidFill>
                <a:schemeClr val="tx1"/>
              </a:solidFill>
              <a:latin typeface="+mn-lt"/>
              <a:ea typeface="+mn-ea"/>
              <a:cs typeface="+mn-cs"/>
            </a:rPr>
            <a:t>Hold Harmless.</a:t>
          </a:r>
          <a:r>
            <a:rPr lang="en-US" sz="1000">
              <a:solidFill>
                <a:schemeClr val="tx1"/>
              </a:solidFill>
              <a:latin typeface="+mn-lt"/>
              <a:ea typeface="+mn-ea"/>
              <a:cs typeface="+mn-cs"/>
            </a:rPr>
            <a:t>  Recipient agrees to hold harmless, indemnify and defend the PUD from and against any and all liability for damages or costs connected in any way with the purchase and installation of conservation measures and any work associated therewith.</a:t>
          </a:r>
        </a:p>
        <a:p>
          <a:pPr lvl="0"/>
          <a:r>
            <a:rPr lang="en-US" sz="1000" u="none">
              <a:solidFill>
                <a:schemeClr val="tx1"/>
              </a:solidFill>
              <a:latin typeface="+mn-lt"/>
              <a:ea typeface="+mn-ea"/>
              <a:cs typeface="+mn-cs"/>
            </a:rPr>
            <a:t>8.  </a:t>
          </a:r>
          <a:r>
            <a:rPr lang="en-US" sz="1000" u="sng">
              <a:solidFill>
                <a:schemeClr val="tx1"/>
              </a:solidFill>
              <a:latin typeface="+mn-lt"/>
              <a:ea typeface="+mn-ea"/>
              <a:cs typeface="+mn-cs"/>
            </a:rPr>
            <a:t>Compliance with Laws.</a:t>
          </a:r>
          <a:r>
            <a:rPr lang="en-US" sz="1000">
              <a:solidFill>
                <a:schemeClr val="tx1"/>
              </a:solidFill>
              <a:latin typeface="+mn-lt"/>
              <a:ea typeface="+mn-ea"/>
              <a:cs typeface="+mn-cs"/>
            </a:rPr>
            <a:t>  Recipient is solely responsible for compliance with all federal, state, and local requirements related to environmental, health, safety and zoning requirements and other laws or regulations applicable to this project.</a:t>
          </a:r>
        </a:p>
        <a:p>
          <a:pPr lvl="0"/>
          <a:r>
            <a:rPr lang="en-US" sz="1000" u="none">
              <a:solidFill>
                <a:schemeClr val="tx1"/>
              </a:solidFill>
              <a:latin typeface="+mn-lt"/>
              <a:ea typeface="+mn-ea"/>
              <a:cs typeface="+mn-cs"/>
            </a:rPr>
            <a:t>9.  </a:t>
          </a:r>
          <a:r>
            <a:rPr lang="en-US" sz="1000" u="sng">
              <a:solidFill>
                <a:schemeClr val="tx1"/>
              </a:solidFill>
              <a:latin typeface="+mn-lt"/>
              <a:ea typeface="+mn-ea"/>
              <a:cs typeface="+mn-cs"/>
            </a:rPr>
            <a:t>Governing Law and Venue.</a:t>
          </a:r>
          <a:r>
            <a:rPr lang="en-US" sz="1000">
              <a:solidFill>
                <a:schemeClr val="tx1"/>
              </a:solidFill>
              <a:latin typeface="+mn-lt"/>
              <a:ea typeface="+mn-ea"/>
              <a:cs typeface="+mn-cs"/>
            </a:rPr>
            <a:t>  This agreement shall be governed by the laws of the State of Washington.  Venue for any action arising from or related to this Agreement shall be in the Superior Court of Chelan County, Washington.</a:t>
          </a:r>
        </a:p>
        <a:p>
          <a:pPr lvl="0"/>
          <a:r>
            <a:rPr lang="en-US" sz="1000" u="none">
              <a:solidFill>
                <a:schemeClr val="tx1"/>
              </a:solidFill>
              <a:latin typeface="+mn-lt"/>
              <a:ea typeface="+mn-ea"/>
              <a:cs typeface="+mn-cs"/>
            </a:rPr>
            <a:t>10.  </a:t>
          </a:r>
          <a:r>
            <a:rPr lang="en-US" sz="1000" u="sng">
              <a:solidFill>
                <a:schemeClr val="tx1"/>
              </a:solidFill>
              <a:latin typeface="+mn-lt"/>
              <a:ea typeface="+mn-ea"/>
              <a:cs typeface="+mn-cs"/>
            </a:rPr>
            <a:t>Attorney Fees.</a:t>
          </a:r>
          <a:r>
            <a:rPr lang="en-US" sz="1000">
              <a:solidFill>
                <a:schemeClr val="tx1"/>
              </a:solidFill>
              <a:latin typeface="+mn-lt"/>
              <a:ea typeface="+mn-ea"/>
              <a:cs typeface="+mn-cs"/>
            </a:rPr>
            <a:t>  In the event it is necessary for either party to utilize the services of an attorney to enforce any of the terms of this Agreement, such enforcing party shall be entitled to compensation for its reasonable attorney’s fees and costs.   In the event of litigation regarding any of the terms of this Agreement, the substantially prevailing party shall be entitled, in addition to other relief, to such reasonable attorney’s fees and costs as determined by the court.</a:t>
          </a:r>
        </a:p>
        <a:p>
          <a:pPr lvl="0"/>
          <a:r>
            <a:rPr lang="en-US" sz="1000" u="none">
              <a:solidFill>
                <a:schemeClr val="tx1"/>
              </a:solidFill>
              <a:latin typeface="+mn-lt"/>
              <a:ea typeface="+mn-ea"/>
              <a:cs typeface="+mn-cs"/>
            </a:rPr>
            <a:t>11.  </a:t>
          </a:r>
          <a:r>
            <a:rPr lang="en-US" sz="1000" u="sng">
              <a:solidFill>
                <a:schemeClr val="tx1"/>
              </a:solidFill>
              <a:latin typeface="+mn-lt"/>
              <a:ea typeface="+mn-ea"/>
              <a:cs typeface="+mn-cs"/>
            </a:rPr>
            <a:t>Entire Agreement.</a:t>
          </a:r>
          <a:r>
            <a:rPr lang="en-US" sz="1000">
              <a:solidFill>
                <a:schemeClr val="tx1"/>
              </a:solidFill>
              <a:latin typeface="+mn-lt"/>
              <a:ea typeface="+mn-ea"/>
              <a:cs typeface="+mn-cs"/>
            </a:rPr>
            <a:t>  This instrument contains the entire agreement of the parties.</a:t>
          </a:r>
          <a:endParaRPr lang="en-US" sz="1100">
            <a:solidFill>
              <a:schemeClr val="tx1"/>
            </a:solidFill>
          </a:endParaRPr>
        </a:p>
      </xdr:txBody>
    </xdr:sp>
    <xdr:clientData/>
  </xdr:twoCellAnchor>
  <xdr:twoCellAnchor editAs="oneCell">
    <xdr:from>
      <xdr:col>16</xdr:col>
      <xdr:colOff>581026</xdr:colOff>
      <xdr:row>4</xdr:row>
      <xdr:rowOff>66677</xdr:rowOff>
    </xdr:from>
    <xdr:to>
      <xdr:col>18</xdr:col>
      <xdr:colOff>276225</xdr:colOff>
      <xdr:row>5</xdr:row>
      <xdr:rowOff>138028</xdr:rowOff>
    </xdr:to>
    <xdr:pic>
      <xdr:nvPicPr>
        <xdr:cNvPr id="4" name="Picture 3" descr="Slide1.PNG"/>
        <xdr:cNvPicPr>
          <a:picLocks noChangeAspect="1"/>
        </xdr:cNvPicPr>
      </xdr:nvPicPr>
      <xdr:blipFill>
        <a:blip xmlns:r="http://schemas.openxmlformats.org/officeDocument/2006/relationships" r:embed="rId1" cstate="print"/>
        <a:stretch>
          <a:fillRect/>
        </a:stretch>
      </xdr:blipFill>
      <xdr:spPr>
        <a:xfrm>
          <a:off x="7848601" y="1085852"/>
          <a:ext cx="1066799" cy="233276"/>
        </a:xfrm>
        <a:prstGeom prst="rect">
          <a:avLst/>
        </a:prstGeom>
      </xdr:spPr>
    </xdr:pic>
    <xdr:clientData/>
  </xdr:twoCellAnchor>
  <xdr:twoCellAnchor editAs="oneCell">
    <xdr:from>
      <xdr:col>20</xdr:col>
      <xdr:colOff>228600</xdr:colOff>
      <xdr:row>8</xdr:row>
      <xdr:rowOff>19050</xdr:rowOff>
    </xdr:from>
    <xdr:to>
      <xdr:col>21</xdr:col>
      <xdr:colOff>352425</xdr:colOff>
      <xdr:row>9</xdr:row>
      <xdr:rowOff>93252</xdr:rowOff>
    </xdr:to>
    <xdr:pic>
      <xdr:nvPicPr>
        <xdr:cNvPr id="5" name="Picture 4" descr="Slide4.PNG"/>
        <xdr:cNvPicPr>
          <a:picLocks noChangeAspect="1"/>
        </xdr:cNvPicPr>
      </xdr:nvPicPr>
      <xdr:blipFill>
        <a:blip xmlns:r="http://schemas.openxmlformats.org/officeDocument/2006/relationships" r:embed="rId2" cstate="print"/>
        <a:stretch>
          <a:fillRect/>
        </a:stretch>
      </xdr:blipFill>
      <xdr:spPr>
        <a:xfrm>
          <a:off x="10239375" y="1676400"/>
          <a:ext cx="1076325" cy="236127"/>
        </a:xfrm>
        <a:prstGeom prst="rect">
          <a:avLst/>
        </a:prstGeom>
      </xdr:spPr>
    </xdr:pic>
    <xdr:clientData/>
  </xdr:twoCellAnchor>
  <xdr:twoCellAnchor editAs="oneCell">
    <xdr:from>
      <xdr:col>20</xdr:col>
      <xdr:colOff>235726</xdr:colOff>
      <xdr:row>3</xdr:row>
      <xdr:rowOff>178576</xdr:rowOff>
    </xdr:from>
    <xdr:to>
      <xdr:col>21</xdr:col>
      <xdr:colOff>314326</xdr:colOff>
      <xdr:row>6</xdr:row>
      <xdr:rowOff>1043</xdr:rowOff>
    </xdr:to>
    <xdr:pic>
      <xdr:nvPicPr>
        <xdr:cNvPr id="6" name="Picture 5" descr="Slide2.PNG"/>
        <xdr:cNvPicPr>
          <a:picLocks noChangeAspect="1"/>
        </xdr:cNvPicPr>
      </xdr:nvPicPr>
      <xdr:blipFill>
        <a:blip xmlns:r="http://schemas.openxmlformats.org/officeDocument/2006/relationships" r:embed="rId3" cstate="print"/>
        <a:stretch>
          <a:fillRect/>
        </a:stretch>
      </xdr:blipFill>
      <xdr:spPr>
        <a:xfrm>
          <a:off x="2712226" y="1045351"/>
          <a:ext cx="1031100" cy="393967"/>
        </a:xfrm>
        <a:prstGeom prst="rect">
          <a:avLst/>
        </a:prstGeom>
      </xdr:spPr>
    </xdr:pic>
    <xdr:clientData/>
  </xdr:twoCellAnchor>
  <xdr:twoCellAnchor editAs="oneCell">
    <xdr:from>
      <xdr:col>17</xdr:col>
      <xdr:colOff>57152</xdr:colOff>
      <xdr:row>8</xdr:row>
      <xdr:rowOff>52351</xdr:rowOff>
    </xdr:from>
    <xdr:to>
      <xdr:col>18</xdr:col>
      <xdr:colOff>523876</xdr:colOff>
      <xdr:row>10</xdr:row>
      <xdr:rowOff>130300</xdr:rowOff>
    </xdr:to>
    <xdr:pic>
      <xdr:nvPicPr>
        <xdr:cNvPr id="7" name="Picture 6" descr="Slide3.PNG"/>
        <xdr:cNvPicPr>
          <a:picLocks noChangeAspect="1"/>
        </xdr:cNvPicPr>
      </xdr:nvPicPr>
      <xdr:blipFill>
        <a:blip xmlns:r="http://schemas.openxmlformats.org/officeDocument/2006/relationships" r:embed="rId4" cstate="print"/>
        <a:stretch>
          <a:fillRect/>
        </a:stretch>
      </xdr:blipFill>
      <xdr:spPr>
        <a:xfrm>
          <a:off x="8010527" y="1709701"/>
          <a:ext cx="1152524" cy="401799"/>
        </a:xfrm>
        <a:prstGeom prst="rect">
          <a:avLst/>
        </a:prstGeom>
      </xdr:spPr>
    </xdr:pic>
    <xdr:clientData/>
  </xdr:twoCellAnchor>
  <xdr:twoCellAnchor editAs="oneCell">
    <xdr:from>
      <xdr:col>16</xdr:col>
      <xdr:colOff>361950</xdr:colOff>
      <xdr:row>11</xdr:row>
      <xdr:rowOff>152400</xdr:rowOff>
    </xdr:from>
    <xdr:to>
      <xdr:col>17</xdr:col>
      <xdr:colOff>266700</xdr:colOff>
      <xdr:row>15</xdr:row>
      <xdr:rowOff>141576</xdr:rowOff>
    </xdr:to>
    <xdr:pic>
      <xdr:nvPicPr>
        <xdr:cNvPr id="8" name="Picture 7" descr="Slide5.png"/>
        <xdr:cNvPicPr>
          <a:picLocks noChangeAspect="1"/>
        </xdr:cNvPicPr>
      </xdr:nvPicPr>
      <xdr:blipFill>
        <a:blip xmlns:r="http://schemas.openxmlformats.org/officeDocument/2006/relationships" r:embed="rId5" cstate="print"/>
        <a:stretch>
          <a:fillRect/>
        </a:stretch>
      </xdr:blipFill>
      <xdr:spPr>
        <a:xfrm>
          <a:off x="7324725" y="1971675"/>
          <a:ext cx="590550" cy="684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114300</xdr:rowOff>
    </xdr:from>
    <xdr:to>
      <xdr:col>8</xdr:col>
      <xdr:colOff>609599</xdr:colOff>
      <xdr:row>41</xdr:row>
      <xdr:rowOff>95251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57148</xdr:colOff>
      <xdr:row>58</xdr:row>
      <xdr:rowOff>28574</xdr:rowOff>
    </xdr:from>
    <xdr:to>
      <xdr:col>8</xdr:col>
      <xdr:colOff>695324</xdr:colOff>
      <xdr:row>75</xdr:row>
      <xdr:rowOff>152399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0.27973</cdr:x>
      <cdr:y>0.74771</cdr:y>
    </cdr:from>
    <cdr:to>
      <cdr:x>0.68408</cdr:x>
      <cdr:y>0.90074</cdr:y>
    </cdr:to>
    <cdr:grpSp>
      <cdr:nvGrpSpPr>
        <cdr:cNvPr id="10" name="Group 9"/>
        <cdr:cNvGrpSpPr/>
      </cdr:nvGrpSpPr>
      <cdr:grpSpPr>
        <a:xfrm xmlns:a="http://schemas.openxmlformats.org/drawingml/2006/main">
          <a:off x="2423471" y="4700479"/>
          <a:ext cx="3503131" cy="962023"/>
          <a:chOff x="2654864" y="2880836"/>
          <a:chExt cx="2741638" cy="962009"/>
        </a:xfrm>
      </cdr:grpSpPr>
      <cdr:sp macro="" textlink="">
        <cdr:nvSpPr>
          <cdr:cNvPr id="7" name="Rectangle 6"/>
          <cdr:cNvSpPr/>
        </cdr:nvSpPr>
        <cdr:spPr>
          <a:xfrm xmlns:a="http://schemas.openxmlformats.org/drawingml/2006/main">
            <a:off x="2654864" y="2880836"/>
            <a:ext cx="2741638" cy="962009"/>
          </a:xfrm>
          <a:prstGeom xmlns:a="http://schemas.openxmlformats.org/drawingml/2006/main" prst="rect">
            <a:avLst/>
          </a:prstGeom>
          <a:solidFill xmlns:a="http://schemas.openxmlformats.org/drawingml/2006/main">
            <a:schemeClr val="bg1"/>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Pivot Tables'!$R$15">
        <cdr:nvSpPr>
          <cdr:cNvPr id="3" name="TextBox 2"/>
          <cdr:cNvSpPr txBox="1"/>
        </cdr:nvSpPr>
        <cdr:spPr>
          <a:xfrm xmlns:a="http://schemas.openxmlformats.org/drawingml/2006/main">
            <a:off x="2662411" y="2900844"/>
            <a:ext cx="2261230" cy="215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659CC67-3358-4E14-A958-81CFB5EB431A}" type="TxLink">
              <a:rPr lang="en-US" sz="1100" b="0" i="0" u="none" strike="noStrike">
                <a:solidFill>
                  <a:srgbClr val="000000"/>
                </a:solidFill>
                <a:latin typeface="+mn-lt"/>
                <a:cs typeface="Times New Roman"/>
              </a:rPr>
              <a:pPr/>
              <a:t>Baseline = 217,497 kWh</a:t>
            </a:fld>
            <a:endParaRPr lang="en-US" sz="1100">
              <a:latin typeface="+mn-lt"/>
            </a:endParaRPr>
          </a:p>
        </cdr:txBody>
      </cdr:sp>
      <cdr:sp macro="" textlink="">
        <cdr:nvSpPr>
          <cdr:cNvPr id="4" name="TextBox 3"/>
          <cdr:cNvSpPr txBox="1"/>
        </cdr:nvSpPr>
        <cdr:spPr>
          <a:xfrm xmlns:a="http://schemas.openxmlformats.org/drawingml/2006/main">
            <a:off x="2655028" y="3224522"/>
            <a:ext cx="1548902" cy="2567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mn-lt"/>
              </a:rPr>
              <a:t>Savings</a:t>
            </a:r>
            <a:r>
              <a:rPr lang="en-US" sz="1100"/>
              <a:t>:</a:t>
            </a:r>
          </a:p>
        </cdr:txBody>
      </cdr:sp>
      <cdr:sp macro="" textlink="'Pivot Tables'!$R$16">
        <cdr:nvSpPr>
          <cdr:cNvPr id="5" name="TextBox 1"/>
          <cdr:cNvSpPr txBox="1"/>
        </cdr:nvSpPr>
        <cdr:spPr>
          <a:xfrm xmlns:a="http://schemas.openxmlformats.org/drawingml/2006/main">
            <a:off x="2663311" y="3399608"/>
            <a:ext cx="2729991" cy="2033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D2AA42B-7F96-47CB-9130-37C209990E05}" type="TxLink">
              <a:rPr lang="en-US" sz="1100" b="0" i="0" u="none" strike="noStrike">
                <a:solidFill>
                  <a:srgbClr val="000000"/>
                </a:solidFill>
                <a:latin typeface="+mn-lt"/>
                <a:cs typeface="Times New Roman"/>
              </a:rPr>
              <a:pPr/>
              <a:t>Deemed = 0 kWh, 400 kWh/HP/Year</a:t>
            </a:fld>
            <a:endParaRPr lang="en-US" sz="1100">
              <a:latin typeface="+mn-lt"/>
            </a:endParaRPr>
          </a:p>
        </cdr:txBody>
      </cdr:sp>
      <cdr:sp macro="" textlink="'Pivot Tables'!$R$17">
        <cdr:nvSpPr>
          <cdr:cNvPr id="6" name="TextBox 1"/>
          <cdr:cNvSpPr txBox="1"/>
        </cdr:nvSpPr>
        <cdr:spPr>
          <a:xfrm xmlns:a="http://schemas.openxmlformats.org/drawingml/2006/main">
            <a:off x="2655929" y="3618403"/>
            <a:ext cx="2722612" cy="2203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7FE5FBB-B011-4B5A-841E-BC161E302137}" type="TxLink">
              <a:rPr lang="en-US" sz="1100" b="0" i="0" u="none" strike="noStrike">
                <a:solidFill>
                  <a:srgbClr val="000000"/>
                </a:solidFill>
                <a:latin typeface="+mn-lt"/>
                <a:cs typeface="Times New Roman"/>
              </a:rPr>
              <a:pPr/>
              <a:t>#DIV/0!</a:t>
            </a:fld>
            <a:endParaRPr lang="en-US" sz="1100">
              <a:latin typeface="+mn-lt"/>
            </a:endParaRPr>
          </a:p>
        </cdr:txBody>
      </cdr:sp>
      <cdr:sp macro="" textlink="'Pivot Tables'!$R$18">
        <cdr:nvSpPr>
          <cdr:cNvPr id="9" name="TextBox 1"/>
          <cdr:cNvSpPr txBox="1"/>
        </cdr:nvSpPr>
        <cdr:spPr>
          <a:xfrm xmlns:a="http://schemas.openxmlformats.org/drawingml/2006/main">
            <a:off x="2655028" y="3077835"/>
            <a:ext cx="2701173" cy="223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C3330924-9FAA-4393-B5F0-8A16C93F5145}" type="TxLink">
              <a:rPr lang="en-US" sz="1100" b="0" i="0" u="none" strike="noStrike">
                <a:solidFill>
                  <a:srgbClr val="000000"/>
                </a:solidFill>
                <a:latin typeface="+mn-lt"/>
                <a:cs typeface="Times New Roman"/>
              </a:rPr>
              <a:pPr algn="l"/>
              <a:t>For  HP VFD maintaining 0 psi.</a:t>
            </a:fld>
            <a:endParaRPr lang="en-US" sz="1100">
              <a:latin typeface="+mn-lt"/>
            </a:endParaRPr>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rtf.nwppc.org/Documents%20and%20Settings/ccryan/Local%20Settings/Temporary%20Internet%20Files/OLK68/LightSaveYiel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5F01\ESB\Documents%20and%20Settings\amohammed\Local%20Settings\Temp\ptr-measures-mapped-to-eec-v6a-081711-do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rtf.nwppc.org/CG/Main/Plan%205/Commercial/Assessment/HVAC/ComLighting_v2004_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Type Names"/>
      <sheetName val="LSYield"/>
      <sheetName val="Plan5CHAR"/>
    </sheetNames>
    <sheetDataSet>
      <sheetData sheetId="0">
        <row r="2">
          <cell r="A2" t="str">
            <v>5th Plan Building Type Names</v>
          </cell>
          <cell r="B2" t="str">
            <v>Synergy Building Type Names</v>
          </cell>
        </row>
        <row r="3">
          <cell r="A3" t="str">
            <v>University</v>
          </cell>
          <cell r="B3" t="str">
            <v xml:space="preserve"> College or University</v>
          </cell>
        </row>
        <row r="4">
          <cell r="A4" t="str">
            <v>Hospital</v>
          </cell>
          <cell r="B4" t="str">
            <v xml:space="preserve"> Hospital</v>
          </cell>
        </row>
        <row r="5">
          <cell r="A5" t="str">
            <v>Lodging</v>
          </cell>
          <cell r="B5" t="str">
            <v xml:space="preserve"> Lodging</v>
          </cell>
        </row>
        <row r="6">
          <cell r="A6" t="str">
            <v>Small Off</v>
          </cell>
          <cell r="B6" t="str">
            <v xml:space="preserve"> Office &lt;20,000 sf</v>
          </cell>
        </row>
        <row r="7">
          <cell r="A7" t="str">
            <v>Medium Off</v>
          </cell>
          <cell r="B7" t="str">
            <v xml:space="preserve"> Office &gt;100,000 sf</v>
          </cell>
        </row>
        <row r="8">
          <cell r="A8" t="str">
            <v>Large Off</v>
          </cell>
          <cell r="B8" t="str">
            <v xml:space="preserve"> Office 20,000 to 100,000 sf</v>
          </cell>
        </row>
        <row r="9">
          <cell r="A9" t="str">
            <v>Other</v>
          </cell>
          <cell r="B9" t="str">
            <v xml:space="preserve"> Other Commercial</v>
          </cell>
        </row>
        <row r="10">
          <cell r="A10" t="str">
            <v>OtherHealth</v>
          </cell>
          <cell r="B10" t="str">
            <v xml:space="preserve"> Other Health, Nursing, Medical Clinic</v>
          </cell>
        </row>
        <row r="11">
          <cell r="A11" t="str">
            <v>Restaurant</v>
          </cell>
          <cell r="B11" t="str">
            <v xml:space="preserve"> Restaurant</v>
          </cell>
        </row>
        <row r="12">
          <cell r="A12" t="str">
            <v>Small Box</v>
          </cell>
          <cell r="B12" t="str">
            <v xml:space="preserve"> Retail 5,000 to 50,000 sf</v>
          </cell>
        </row>
        <row r="13">
          <cell r="A13" t="str">
            <v>Anchor</v>
          </cell>
          <cell r="B13" t="str">
            <v xml:space="preserve"> Retail Anchor Store &gt;50,000 sf Multistory</v>
          </cell>
        </row>
        <row r="14">
          <cell r="A14" t="str">
            <v>Big Box</v>
          </cell>
          <cell r="B14" t="str">
            <v xml:space="preserve"> Retail Big Box &gt;50,000 sf One-Story</v>
          </cell>
        </row>
        <row r="15">
          <cell r="A15" t="str">
            <v>High End</v>
          </cell>
          <cell r="B15" t="str">
            <v xml:space="preserve"> Retail Boutique &lt;5,000 sf</v>
          </cell>
        </row>
        <row r="16">
          <cell r="A16" t="str">
            <v>MiniMart</v>
          </cell>
          <cell r="B16" t="str">
            <v xml:space="preserve"> Retail Mini Mart</v>
          </cell>
        </row>
        <row r="17">
          <cell r="A17" t="str">
            <v>Supermarket</v>
          </cell>
          <cell r="B17" t="str">
            <v xml:space="preserve"> Retail Supermarket</v>
          </cell>
        </row>
        <row r="18">
          <cell r="A18" t="str">
            <v>K-12</v>
          </cell>
          <cell r="B18" t="str">
            <v xml:space="preserve"> School K-12</v>
          </cell>
        </row>
        <row r="19">
          <cell r="A19" t="str">
            <v>Warehouse</v>
          </cell>
          <cell r="B19" t="str">
            <v xml:space="preserve"> Warehouse</v>
          </cell>
        </row>
      </sheetData>
      <sheetData sheetId="1"/>
      <sheetData sheetId="2">
        <row r="2">
          <cell r="A2" t="str">
            <v>5th Plan Building Type Names</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lank"/>
      <sheetName val="Ag-base"/>
      <sheetName val="Ind-base"/>
      <sheetName val="Com-base"/>
      <sheetName val="Res-base"/>
      <sheetName val="Final Master attr list"/>
      <sheetName val="Res-heatpumps"/>
      <sheetName val="Com-ESO"/>
      <sheetName val="Res-tax"/>
      <sheetName val="Com-tax"/>
      <sheetName val="Ind-tax"/>
      <sheetName val="Ag-tax"/>
      <sheetName val="unit-ref"/>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ow r="5">
          <cell r="B5" t="str">
            <v>Lighting</v>
          </cell>
          <cell r="C5" t="str">
            <v>Lamps</v>
          </cell>
          <cell r="D5" t="str">
            <v>High-efficiency Lamps</v>
          </cell>
          <cell r="E5" t="str">
            <v>LED</v>
          </cell>
          <cell r="F5" t="str">
            <v>Any Specialty</v>
          </cell>
          <cell r="G5" t="str">
            <v>Retail</v>
          </cell>
          <cell r="I5" t="str">
            <v>ACH</v>
          </cell>
          <cell r="K5" t="str">
            <v>SEER/IEER/EER</v>
          </cell>
          <cell r="AH5" t="str">
            <v xml:space="preserve">Electric </v>
          </cell>
          <cell r="AI5" t="str">
            <v>Any Location (weighted average)</v>
          </cell>
          <cell r="AN5" t="str">
            <v>SSSS</v>
          </cell>
        </row>
        <row r="6">
          <cell r="B6" t="str">
            <v>Heating and Cooling</v>
          </cell>
          <cell r="C6" t="str">
            <v>Fixtures</v>
          </cell>
          <cell r="D6" t="str">
            <v>High-efficiency Fixtures</v>
          </cell>
          <cell r="E6" t="str">
            <v>CFL</v>
          </cell>
          <cell r="F6" t="str">
            <v>Any Standard</v>
          </cell>
          <cell r="G6" t="str">
            <v>Direct Install</v>
          </cell>
          <cell r="I6" t="str">
            <v>Case</v>
          </cell>
          <cell r="K6" t="str">
            <v>SEER/HSPF</v>
          </cell>
          <cell r="AH6" t="str">
            <v>Gas</v>
          </cell>
          <cell r="AI6" t="str">
            <v>Interior</v>
          </cell>
          <cell r="AN6" t="str">
            <v>Federal</v>
          </cell>
        </row>
        <row r="7">
          <cell r="B7" t="str">
            <v>Electronics</v>
          </cell>
          <cell r="C7" t="str">
            <v>Lighting Controls</v>
          </cell>
          <cell r="D7" t="str">
            <v>Lighting Controls</v>
          </cell>
          <cell r="E7" t="str">
            <v>LPD Reductions</v>
          </cell>
          <cell r="F7" t="str">
            <v>Globe</v>
          </cell>
          <cell r="G7" t="str">
            <v>Mail-by-Request</v>
          </cell>
          <cell r="I7" t="str">
            <v>CFM50</v>
          </cell>
          <cell r="K7" t="str">
            <v>HSPF/COP</v>
          </cell>
          <cell r="AH7" t="str">
            <v>Any Fuel</v>
          </cell>
          <cell r="AI7" t="str">
            <v>Exterior</v>
          </cell>
          <cell r="AN7" t="str">
            <v>Low Income</v>
          </cell>
        </row>
        <row r="8">
          <cell r="B8" t="str">
            <v>Refrigeration</v>
          </cell>
          <cell r="C8" t="str">
            <v>Controls</v>
          </cell>
          <cell r="D8" t="str">
            <v>Ductless Heat Pump</v>
          </cell>
          <cell r="E8" t="str">
            <v>Hard-wired</v>
          </cell>
          <cell r="F8" t="str">
            <v>Reflector</v>
          </cell>
          <cell r="G8" t="str">
            <v>Mail Non-Request</v>
          </cell>
          <cell r="I8" t="str">
            <v>Cubic Feet</v>
          </cell>
          <cell r="K8" t="str">
            <v>MEF</v>
          </cell>
          <cell r="AH8" t="str">
            <v>Electric/Gas</v>
          </cell>
          <cell r="AI8" t="str">
            <v>Living Room</v>
          </cell>
          <cell r="AN8" t="str">
            <v>O Power</v>
          </cell>
        </row>
        <row r="9">
          <cell r="B9" t="str">
            <v>Water Heating</v>
          </cell>
          <cell r="C9" t="str">
            <v>HVAC system</v>
          </cell>
          <cell r="D9" t="str">
            <v>Air-source Heat Pump</v>
          </cell>
          <cell r="E9" t="str">
            <v>Plug-in</v>
          </cell>
          <cell r="F9" t="str">
            <v>Candelabra</v>
          </cell>
          <cell r="G9" t="str">
            <v>Bulk Distribution</v>
          </cell>
          <cell r="I9" t="str">
            <v>Dryer</v>
          </cell>
          <cell r="K9" t="str">
            <v>EF</v>
          </cell>
          <cell r="AH9" t="str">
            <v>Gas/Electric</v>
          </cell>
          <cell r="AI9" t="str">
            <v>Dining Room</v>
          </cell>
          <cell r="AN9" t="str">
            <v>BuiltGreen</v>
          </cell>
        </row>
        <row r="10">
          <cell r="B10" t="str">
            <v>Multiple End Use</v>
          </cell>
          <cell r="C10" t="str">
            <v>Envelope</v>
          </cell>
          <cell r="D10" t="str">
            <v>Bundled Air-source Heat Pump With Duct Sealing</v>
          </cell>
          <cell r="E10" t="str">
            <v>Prime Window</v>
          </cell>
          <cell r="F10" t="str">
            <v>Candelabra - Decorative</v>
          </cell>
          <cell r="G10" t="str">
            <v>Hard To Reach</v>
          </cell>
          <cell r="I10" t="str">
            <v>Fryer</v>
          </cell>
          <cell r="K10" t="str">
            <v>CPM</v>
          </cell>
          <cell r="AH10" t="str">
            <v>Electric Dryer</v>
          </cell>
          <cell r="AI10" t="str">
            <v>Bedroom</v>
          </cell>
          <cell r="AN10" t="str">
            <v>Energy Smart Office</v>
          </cell>
        </row>
        <row r="11">
          <cell r="C11" t="str">
            <v>Thermostat/Controls</v>
          </cell>
          <cell r="D11" t="str">
            <v>Ground-source Heat Pump</v>
          </cell>
          <cell r="E11" t="str">
            <v>Patio Door</v>
          </cell>
          <cell r="F11" t="str">
            <v>Candelabra - Primary</v>
          </cell>
          <cell r="G11" t="str">
            <v>Documented Direct Install</v>
          </cell>
          <cell r="I11" t="str">
            <v>Gallon capacity</v>
          </cell>
          <cell r="K11" t="str">
            <v>Energy Star</v>
          </cell>
          <cell r="AH11" t="str">
            <v>Gas Dryer</v>
          </cell>
          <cell r="AI11" t="str">
            <v>Kitchen</v>
          </cell>
          <cell r="AN11" t="str">
            <v>Energy Smart Grocer</v>
          </cell>
        </row>
        <row r="12">
          <cell r="C12" t="str">
            <v>Heat Recovery</v>
          </cell>
          <cell r="D12" t="str">
            <v>Bundled Ground-source Heat Pump With Duct Sealing</v>
          </cell>
          <cell r="E12" t="str">
            <v>Bundled Ducts Sealed 100%</v>
          </cell>
          <cell r="F12" t="str">
            <v>Candelabra -Torpedo</v>
          </cell>
          <cell r="G12" t="str">
            <v>Rebate or Direct Install</v>
          </cell>
          <cell r="I12" t="str">
            <v>Gallons</v>
          </cell>
          <cell r="K12" t="str">
            <v>Cooking Efficiency</v>
          </cell>
          <cell r="AI12" t="str">
            <v>Bathroom</v>
          </cell>
          <cell r="AN12" t="str">
            <v>Green Motors</v>
          </cell>
        </row>
        <row r="13">
          <cell r="C13" t="str">
            <v>Entertainment Center</v>
          </cell>
          <cell r="D13" t="str">
            <v>Efficient Air Conditioner</v>
          </cell>
          <cell r="E13" t="str">
            <v>Bundled Ducts Sealed 50%</v>
          </cell>
          <cell r="F13" t="str">
            <v>A Lamp</v>
          </cell>
          <cell r="G13" t="str">
            <v>Installed to program requirements</v>
          </cell>
          <cell r="I13" t="str">
            <v>Gallons Per Minute (GPM)</v>
          </cell>
          <cell r="K13" t="str">
            <v>NEMA Premium</v>
          </cell>
          <cell r="AI13" t="str">
            <v>Hallway</v>
          </cell>
        </row>
        <row r="14">
          <cell r="C14" t="str">
            <v>Computer Technology</v>
          </cell>
          <cell r="D14" t="str">
            <v>Duct Sealing</v>
          </cell>
          <cell r="E14" t="str">
            <v>Top Freezer Auto Defrost</v>
          </cell>
          <cell r="F14" t="str">
            <v>Dimmable</v>
          </cell>
          <cell r="G14" t="str">
            <v>Installed to program requirements (WA only)</v>
          </cell>
          <cell r="I14" t="str">
            <v>Horsepower</v>
          </cell>
          <cell r="K14" t="str">
            <v>RTF Efficiency Standard</v>
          </cell>
          <cell r="AI14" t="str">
            <v>Primary</v>
          </cell>
        </row>
        <row r="15">
          <cell r="C15" t="str">
            <v>Refrigerators</v>
          </cell>
          <cell r="D15" t="str">
            <v xml:space="preserve">Commissioning </v>
          </cell>
          <cell r="E15" t="str">
            <v>Bottom Freezer Auto Defrost</v>
          </cell>
          <cell r="F15" t="str">
            <v>Dimmable Reflector</v>
          </cell>
          <cell r="G15" t="str">
            <v>Installed to program requirements (ID or MT only)</v>
          </cell>
          <cell r="I15" t="str">
            <v>Ice Maker</v>
          </cell>
          <cell r="K15" t="str">
            <v>CEE Tier 1</v>
          </cell>
          <cell r="AI15" t="str">
            <v>Secondary</v>
          </cell>
        </row>
        <row r="16">
          <cell r="C16" t="str">
            <v>Freezers</v>
          </cell>
          <cell r="D16" t="str">
            <v>Efficient Windows</v>
          </cell>
          <cell r="E16" t="str">
            <v>Top Freezer Manual Defrost</v>
          </cell>
          <cell r="F16" t="str">
            <v>Outdoor</v>
          </cell>
          <cell r="G16" t="str">
            <v>Upgrade New</v>
          </cell>
          <cell r="I16" t="str">
            <v>Inch</v>
          </cell>
          <cell r="K16" t="str">
            <v>CEE Tier 2</v>
          </cell>
          <cell r="AI16" t="str">
            <v>Attic</v>
          </cell>
        </row>
        <row r="17">
          <cell r="C17" t="str">
            <v>Water Heaters</v>
          </cell>
          <cell r="D17" t="str">
            <v>Insulation</v>
          </cell>
          <cell r="E17" t="str">
            <v>Bottom Freezer Manual Defrost</v>
          </cell>
          <cell r="F17" t="str">
            <v>Daylight</v>
          </cell>
          <cell r="G17" t="str">
            <v xml:space="preserve">Upgrade  </v>
          </cell>
          <cell r="I17" t="str">
            <v>Lamp</v>
          </cell>
          <cell r="K17" t="str">
            <v>CEE Tier 3</v>
          </cell>
          <cell r="AI17" t="str">
            <v>Floor</v>
          </cell>
        </row>
        <row r="18">
          <cell r="C18" t="str">
            <v>Pipe Insulation</v>
          </cell>
          <cell r="D18" t="str">
            <v>Air Sealing</v>
          </cell>
          <cell r="E18" t="str">
            <v>Side By Side Doors Manual Defrost</v>
          </cell>
          <cell r="F18" t="str">
            <v>High Wattage</v>
          </cell>
          <cell r="G18" t="str">
            <v>Replacement</v>
          </cell>
          <cell r="I18" t="str">
            <v>Linear Foot</v>
          </cell>
          <cell r="K18" t="str">
            <v>Idle Energy Rate</v>
          </cell>
          <cell r="AI18" t="str">
            <v>Wall</v>
          </cell>
        </row>
        <row r="19">
          <cell r="C19" t="str">
            <v>Water Heat Recovery</v>
          </cell>
          <cell r="D19" t="str">
            <v>Efficient Televisions</v>
          </cell>
          <cell r="E19" t="str">
            <v>Side By Side Doors Auto Defrost</v>
          </cell>
          <cell r="F19" t="str">
            <v>3-Way</v>
          </cell>
          <cell r="G19" t="str">
            <v>Conversion</v>
          </cell>
          <cell r="I19" t="str">
            <v>Motor</v>
          </cell>
          <cell r="K19" t="str">
            <v>CFM/kW</v>
          </cell>
          <cell r="AI19" t="str">
            <v>Underfloor</v>
          </cell>
        </row>
        <row r="20">
          <cell r="C20" t="str">
            <v>Water Using Devices</v>
          </cell>
          <cell r="D20" t="str">
            <v>Efficient Set Top Boxes</v>
          </cell>
          <cell r="E20" t="str">
            <v>Any Refrigerator</v>
          </cell>
          <cell r="F20" t="str">
            <v>T2 Twist</v>
          </cell>
          <cell r="I20" t="str">
            <v>Nozzle</v>
          </cell>
          <cell r="K20" t="str">
            <v>% Efficiency</v>
          </cell>
          <cell r="AI20" t="str">
            <v>Perimeter</v>
          </cell>
        </row>
        <row r="21">
          <cell r="C21" t="str">
            <v>EE Homes</v>
          </cell>
          <cell r="D21" t="str">
            <v>PC Controls</v>
          </cell>
          <cell r="E21" t="str">
            <v>Any Freezer</v>
          </cell>
          <cell r="F21" t="str">
            <v>Downlight</v>
          </cell>
          <cell r="I21" t="str">
            <v>Oven</v>
          </cell>
          <cell r="K21" t="str">
            <v>IPLV</v>
          </cell>
          <cell r="AI21" t="str">
            <v>Basement</v>
          </cell>
        </row>
        <row r="22">
          <cell r="C22" t="str">
            <v xml:space="preserve">EE Marketing </v>
          </cell>
          <cell r="D22" t="str">
            <v>Smart Strips</v>
          </cell>
          <cell r="E22" t="str">
            <v>Upright</v>
          </cell>
          <cell r="F22" t="str">
            <v>Fluorescent Torchiere</v>
          </cell>
          <cell r="I22" t="str">
            <v>Pounds Per Day</v>
          </cell>
          <cell r="K22" t="str">
            <v>R-value</v>
          </cell>
          <cell r="AI22" t="str">
            <v>Prime Window</v>
          </cell>
        </row>
        <row r="23">
          <cell r="D23" t="str">
            <v>Refrigerator Decommissioning</v>
          </cell>
          <cell r="E23" t="str">
            <v>Chest</v>
          </cell>
          <cell r="F23" t="str">
            <v>Flood</v>
          </cell>
          <cell r="I23" t="str">
            <v>RPM</v>
          </cell>
          <cell r="K23" t="str">
            <v>U-value</v>
          </cell>
          <cell r="AI23" t="str">
            <v>Patio Door</v>
          </cell>
        </row>
        <row r="24">
          <cell r="D24" t="str">
            <v>Freezers Decommissioning</v>
          </cell>
          <cell r="E24" t="str">
            <v>Short wrap</v>
          </cell>
          <cell r="F24" t="str">
            <v>Porch Light</v>
          </cell>
          <cell r="I24" t="str">
            <v>Showerhead</v>
          </cell>
        </row>
        <row r="25">
          <cell r="D25" t="str">
            <v>Refrigerator Upgrade</v>
          </cell>
          <cell r="E25" t="str">
            <v>Long wrap</v>
          </cell>
          <cell r="F25" t="str">
            <v>Ceiling Flush Mount</v>
          </cell>
          <cell r="I25" t="str">
            <v>Sq. Footage</v>
          </cell>
        </row>
        <row r="26">
          <cell r="D26" t="str">
            <v>Freezer Upgrade</v>
          </cell>
          <cell r="E26" t="str">
            <v>Any Showerhead</v>
          </cell>
          <cell r="F26" t="str">
            <v>Pendant</v>
          </cell>
          <cell r="I26" t="str">
            <v>Steamer</v>
          </cell>
        </row>
        <row r="27">
          <cell r="D27" t="str">
            <v>Heat Pump Water Heaters</v>
          </cell>
          <cell r="E27" t="str">
            <v>Primary Showerhead</v>
          </cell>
          <cell r="F27" t="str">
            <v>Wall Sconce</v>
          </cell>
          <cell r="I27" t="str">
            <v>Tons</v>
          </cell>
        </row>
        <row r="28">
          <cell r="D28" t="str">
            <v>EE Water Heaters</v>
          </cell>
          <cell r="E28" t="str">
            <v>Secondary Showerhead</v>
          </cell>
          <cell r="F28" t="str">
            <v>Coach &amp; Lantern</v>
          </cell>
          <cell r="I28" t="str">
            <v>Washer</v>
          </cell>
        </row>
        <row r="29">
          <cell r="D29" t="str">
            <v>Pipe Insulation</v>
          </cell>
          <cell r="E29" t="str">
            <v>Top Loader</v>
          </cell>
          <cell r="F29" t="str">
            <v>Fluorescent Strip</v>
          </cell>
          <cell r="I29" t="str">
            <v>Watts</v>
          </cell>
        </row>
        <row r="30">
          <cell r="D30" t="str">
            <v>Water Heat Recovery</v>
          </cell>
          <cell r="E30" t="str">
            <v>With EE Water Heater Option</v>
          </cell>
          <cell r="F30" t="str">
            <v>Vanity</v>
          </cell>
          <cell r="I30" t="str">
            <v>Watts per Linear Foot</v>
          </cell>
        </row>
        <row r="31">
          <cell r="D31" t="str">
            <v>Efficient Clothes Washers</v>
          </cell>
          <cell r="E31" t="str">
            <v>With Ducts Inside Option</v>
          </cell>
          <cell r="F31" t="str">
            <v>Ceiling Fan</v>
          </cell>
        </row>
        <row r="32">
          <cell r="D32" t="str">
            <v>Efficient Showerheads</v>
          </cell>
          <cell r="E32" t="str">
            <v>With Windows Option</v>
          </cell>
          <cell r="F32" t="str">
            <v>Any Fixture</v>
          </cell>
        </row>
        <row r="33">
          <cell r="D33" t="str">
            <v>Efficient Dishwashers</v>
          </cell>
          <cell r="F33" t="str">
            <v>Portable Table Lamp</v>
          </cell>
        </row>
        <row r="34">
          <cell r="D34" t="str">
            <v>Energy Star Home</v>
          </cell>
          <cell r="F34" t="str">
            <v>Portable Floor Lamp</v>
          </cell>
        </row>
        <row r="35">
          <cell r="D35" t="str">
            <v>Built Green Home</v>
          </cell>
          <cell r="F35" t="str">
            <v>Table or Floor Lamp</v>
          </cell>
        </row>
        <row r="36">
          <cell r="D36" t="str">
            <v>Eco Home</v>
          </cell>
          <cell r="F36" t="str">
            <v>Full Basement</v>
          </cell>
        </row>
        <row r="37">
          <cell r="D37" t="str">
            <v>Montana House</v>
          </cell>
          <cell r="F37" t="str">
            <v>Half-Basement</v>
          </cell>
        </row>
        <row r="38">
          <cell r="D38" t="str">
            <v>NEEM Home</v>
          </cell>
          <cell r="F38" t="str">
            <v>Full or Half-Basement</v>
          </cell>
        </row>
        <row r="39">
          <cell r="D39" t="str">
            <v>Behavorial</v>
          </cell>
          <cell r="F39" t="str">
            <v>Crawlspace</v>
          </cell>
        </row>
        <row r="40">
          <cell r="F40" t="str">
            <v>Vented Crawlspace</v>
          </cell>
        </row>
        <row r="41">
          <cell r="F41" t="str">
            <v>Sealed Crawlspace</v>
          </cell>
        </row>
        <row r="42">
          <cell r="F42" t="str">
            <v>Slab On Grade</v>
          </cell>
        </row>
        <row r="43">
          <cell r="F43" t="str">
            <v xml:space="preserve">Upgrade  </v>
          </cell>
        </row>
        <row r="44">
          <cell r="F44" t="str">
            <v>Replacement</v>
          </cell>
        </row>
        <row r="45">
          <cell r="F45" t="str">
            <v>Conversion</v>
          </cell>
        </row>
        <row r="46">
          <cell r="F46" t="str">
            <v>Supplemental</v>
          </cell>
        </row>
        <row r="47">
          <cell r="F47" t="str">
            <v>Any Defrost</v>
          </cell>
        </row>
        <row r="48">
          <cell r="F48" t="str">
            <v>Automatic Defrost</v>
          </cell>
        </row>
        <row r="49">
          <cell r="F49" t="str">
            <v>Manual Defrost</v>
          </cell>
        </row>
        <row r="50">
          <cell r="F50" t="str">
            <v>W/ Ice Thru Door</v>
          </cell>
        </row>
        <row r="51">
          <cell r="F51" t="str">
            <v>W/o Ice Thru Door</v>
          </cell>
        </row>
        <row r="52">
          <cell r="F52" t="str">
            <v>W/ or W/o Ice Thru Door</v>
          </cell>
        </row>
      </sheetData>
      <sheetData sheetId="9" refreshError="1"/>
      <sheetData sheetId="10" refreshError="1"/>
      <sheetData sheetId="11" refreshError="1"/>
      <sheetData sheetId="1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st Data 03"/>
      <sheetName val="L&amp;B Retro Deemed  Measure Table"/>
      <sheetName val="L&amp;B Retrofit Bulk System Value"/>
      <sheetName val="L&amp;B New Bulk System Value"/>
      <sheetName val="ProData"/>
      <sheetName val="Generic Lamp&amp;Ballast Retrofit"/>
      <sheetName val="Generic Lamp&amp;Ballast New"/>
      <sheetName val="Specific L&amp;B Retro 2003"/>
      <sheetName val="Specific Lamp&amp;Ballast Retrofit"/>
      <sheetName val="Lamp&amp;Ballast Retrfit by Bld 03"/>
      <sheetName val="Lamp&amp;Ballast Retrfit by Bldg"/>
      <sheetName val="Building Specific Data 2003"/>
      <sheetName val="Existing Building Inputs 2003"/>
      <sheetName val="Building Specific Data"/>
      <sheetName val="Retrofit Descriptions-old"/>
      <sheetName val="Retrofit Descriptions 2003"/>
      <sheetName val="Data All"/>
      <sheetName val="Data All (old)"/>
      <sheetName val="Lamps&amp; Ballasts Data"/>
      <sheetName val="FEMP DATA"/>
      <sheetName val="DOE Stds Data"/>
      <sheetName val="Stock Floorspace &amp; Use in 1993"/>
      <sheetName val="New Building Inputs"/>
      <sheetName val="Existing Building Inputs"/>
      <sheetName val="PT - L&amp;B All"/>
      <sheetName val="PT Summary"/>
      <sheetName val="Update 2004"/>
      <sheetName val="Measure Family 2003"/>
      <sheetName val="To Do"/>
    </sheetNames>
    <sheetDataSet>
      <sheetData sheetId="0">
        <row r="3">
          <cell r="B3" t="str">
            <v>System ID Tag</v>
          </cell>
          <cell r="C3" t="str">
            <v>Lamp Type</v>
          </cell>
          <cell r="D3" t="str">
            <v># of Lamps</v>
          </cell>
          <cell r="E3" t="str">
            <v xml:space="preserve">LAMP_HR    </v>
          </cell>
          <cell r="F3" t="str">
            <v>lamp cost 2003</v>
          </cell>
          <cell r="G3" t="str">
            <v xml:space="preserve">$2000 AVG_LCST   </v>
          </cell>
          <cell r="H3" t="str">
            <v xml:space="preserve">LMP_TIME   </v>
          </cell>
          <cell r="I3" t="str">
            <v xml:space="preserve">BALL_HR    </v>
          </cell>
          <cell r="J3" t="str">
            <v xml:space="preserve">$2003 AVG_BCST   </v>
          </cell>
          <cell r="K3" t="str">
            <v xml:space="preserve">$2000 AVG_BCST   </v>
          </cell>
          <cell r="L3" t="str">
            <v xml:space="preserve">BAL_TIME   </v>
          </cell>
          <cell r="M3" t="str">
            <v># of Ballasts</v>
          </cell>
        </row>
        <row r="4">
          <cell r="B4" t="str">
            <v>T12 4' Fluorescent, 2-F40T12ES 34W, 1-MAG EE</v>
          </cell>
          <cell r="C4" t="str">
            <v>F40T12ES</v>
          </cell>
          <cell r="D4">
            <v>2</v>
          </cell>
          <cell r="E4">
            <v>20000</v>
          </cell>
          <cell r="F4">
            <v>1.22</v>
          </cell>
          <cell r="G4">
            <v>1.1226595744680852</v>
          </cell>
          <cell r="H4">
            <v>0.09</v>
          </cell>
          <cell r="I4">
            <v>60000</v>
          </cell>
          <cell r="J4">
            <v>12</v>
          </cell>
          <cell r="K4">
            <v>11.042553191489361</v>
          </cell>
          <cell r="L4">
            <v>0.33</v>
          </cell>
          <cell r="M4">
            <v>1</v>
          </cell>
        </row>
        <row r="5">
          <cell r="B5" t="str">
            <v>T12 4' Fluorescent, 2-F40T12ES 34W, 1-MAG EE</v>
          </cell>
          <cell r="C5" t="str">
            <v>F40T12ES</v>
          </cell>
          <cell r="D5">
            <v>2</v>
          </cell>
          <cell r="E5">
            <v>20000</v>
          </cell>
          <cell r="F5">
            <v>1.22</v>
          </cell>
          <cell r="G5">
            <v>1.1226595744680852</v>
          </cell>
          <cell r="H5">
            <v>0.09</v>
          </cell>
          <cell r="I5">
            <v>60000</v>
          </cell>
          <cell r="J5">
            <v>12</v>
          </cell>
          <cell r="K5">
            <v>11.042553191489361</v>
          </cell>
          <cell r="L5">
            <v>0.33</v>
          </cell>
          <cell r="M5">
            <v>1</v>
          </cell>
        </row>
        <row r="6">
          <cell r="B6" t="str">
            <v>T12 4' Fluorescent, 1-F40T12ES 34W, 1-MAG EE</v>
          </cell>
          <cell r="C6" t="str">
            <v>F40T12ES</v>
          </cell>
          <cell r="D6">
            <v>1</v>
          </cell>
          <cell r="E6">
            <v>20000</v>
          </cell>
          <cell r="F6">
            <v>1.22</v>
          </cell>
          <cell r="G6">
            <v>1.1226595744680852</v>
          </cell>
          <cell r="H6">
            <v>0.09</v>
          </cell>
          <cell r="I6">
            <v>60000</v>
          </cell>
          <cell r="J6">
            <v>12</v>
          </cell>
          <cell r="K6">
            <v>11.042553191489361</v>
          </cell>
          <cell r="L6">
            <v>0.33</v>
          </cell>
          <cell r="M6">
            <v>1</v>
          </cell>
        </row>
        <row r="7">
          <cell r="B7" t="str">
            <v>T12 4' Fluorescent, 3-F40T12ES 34W, 2-MAG EE</v>
          </cell>
          <cell r="C7" t="str">
            <v>F40T12ES</v>
          </cell>
          <cell r="D7">
            <v>3</v>
          </cell>
          <cell r="E7">
            <v>20000</v>
          </cell>
          <cell r="F7">
            <v>1.22</v>
          </cell>
          <cell r="G7">
            <v>1.1226595744680852</v>
          </cell>
          <cell r="H7">
            <v>0.09</v>
          </cell>
          <cell r="I7">
            <v>60000</v>
          </cell>
          <cell r="J7">
            <v>13</v>
          </cell>
          <cell r="K7">
            <v>11.962765957446809</v>
          </cell>
          <cell r="L7">
            <v>0.42</v>
          </cell>
          <cell r="M7">
            <v>2</v>
          </cell>
        </row>
        <row r="8">
          <cell r="B8" t="str">
            <v>T12 4' Fluorescent, 3-F40T12ES 34W, 2-MAG EE</v>
          </cell>
          <cell r="C8" t="str">
            <v>F40T12ES</v>
          </cell>
          <cell r="D8">
            <v>3</v>
          </cell>
          <cell r="E8">
            <v>20000</v>
          </cell>
          <cell r="F8">
            <v>1.22</v>
          </cell>
          <cell r="G8">
            <v>1.1226595744680852</v>
          </cell>
          <cell r="H8">
            <v>0.09</v>
          </cell>
          <cell r="I8">
            <v>60000</v>
          </cell>
          <cell r="J8">
            <v>13</v>
          </cell>
          <cell r="K8">
            <v>11.962765957446809</v>
          </cell>
          <cell r="L8">
            <v>0.42</v>
          </cell>
          <cell r="M8">
            <v>2</v>
          </cell>
        </row>
        <row r="9">
          <cell r="B9" t="str">
            <v>T12 4' Fluorescent, 4-F40T12ES 34W, 2-MAG EE</v>
          </cell>
          <cell r="C9" t="str">
            <v>F40T12ES</v>
          </cell>
          <cell r="D9">
            <v>4</v>
          </cell>
          <cell r="E9">
            <v>20000</v>
          </cell>
          <cell r="F9">
            <v>1.22</v>
          </cell>
          <cell r="G9">
            <v>1.1226595744680852</v>
          </cell>
          <cell r="H9">
            <v>0.09</v>
          </cell>
          <cell r="I9">
            <v>60000</v>
          </cell>
          <cell r="J9">
            <v>13</v>
          </cell>
          <cell r="K9">
            <v>11.962765957446809</v>
          </cell>
          <cell r="L9">
            <v>0.42</v>
          </cell>
          <cell r="M9">
            <v>2</v>
          </cell>
        </row>
        <row r="10">
          <cell r="B10" t="str">
            <v>T12 4' Fluorescent, 4-F40T12ES 34W, 2-MAG EE</v>
          </cell>
          <cell r="C10" t="str">
            <v>F40T12ES</v>
          </cell>
          <cell r="D10">
            <v>4</v>
          </cell>
          <cell r="E10">
            <v>20000</v>
          </cell>
          <cell r="F10">
            <v>1.22</v>
          </cell>
          <cell r="G10">
            <v>1.1226595744680852</v>
          </cell>
          <cell r="H10">
            <v>0.09</v>
          </cell>
          <cell r="I10">
            <v>60000</v>
          </cell>
          <cell r="J10">
            <v>13</v>
          </cell>
          <cell r="K10">
            <v>11.962765957446809</v>
          </cell>
          <cell r="L10">
            <v>0.42</v>
          </cell>
          <cell r="M10">
            <v>2</v>
          </cell>
        </row>
        <row r="11">
          <cell r="B11" t="str">
            <v>T12 8' Fluorescent, 1-F96T12ES 60W, 1-MAG</v>
          </cell>
          <cell r="C11" t="str">
            <v>F96T12ES</v>
          </cell>
          <cell r="D11">
            <v>1</v>
          </cell>
          <cell r="E11">
            <v>12000</v>
          </cell>
          <cell r="F11">
            <v>6.52</v>
          </cell>
          <cell r="G11">
            <v>5.9997872340425529</v>
          </cell>
          <cell r="H11">
            <v>0.09</v>
          </cell>
          <cell r="I11">
            <v>60000</v>
          </cell>
          <cell r="J11">
            <v>21</v>
          </cell>
          <cell r="K11">
            <v>19.324468085106382</v>
          </cell>
          <cell r="L11">
            <v>0.33</v>
          </cell>
          <cell r="M11">
            <v>1</v>
          </cell>
        </row>
        <row r="12">
          <cell r="B12" t="str">
            <v>T12 8' Fluorescent, 1-F96T12HOES 95W, 1-MAG</v>
          </cell>
          <cell r="C12" t="str">
            <v>F96T12HOES</v>
          </cell>
          <cell r="D12">
            <v>1</v>
          </cell>
          <cell r="E12">
            <v>12000</v>
          </cell>
          <cell r="F12">
            <v>7.63</v>
          </cell>
          <cell r="G12">
            <v>7.021223404255319</v>
          </cell>
          <cell r="H12">
            <v>0.09</v>
          </cell>
          <cell r="I12">
            <v>60000</v>
          </cell>
          <cell r="J12">
            <v>21</v>
          </cell>
          <cell r="K12">
            <v>19.324468085106382</v>
          </cell>
          <cell r="L12">
            <v>0.33</v>
          </cell>
          <cell r="M12">
            <v>1</v>
          </cell>
        </row>
        <row r="13">
          <cell r="B13" t="str">
            <v>T12 8' Fluorescent, 1-F96T12VHOES 185W, 1-MAG</v>
          </cell>
          <cell r="C13" t="str">
            <v>F96T12VHOES</v>
          </cell>
          <cell r="D13">
            <v>1</v>
          </cell>
          <cell r="E13">
            <v>12000</v>
          </cell>
          <cell r="F13">
            <v>12.58</v>
          </cell>
          <cell r="G13">
            <v>11.576276595744682</v>
          </cell>
          <cell r="H13">
            <v>0.09</v>
          </cell>
          <cell r="I13">
            <v>60000</v>
          </cell>
          <cell r="J13">
            <v>21</v>
          </cell>
          <cell r="K13">
            <v>19.324468085106382</v>
          </cell>
          <cell r="L13">
            <v>0.33</v>
          </cell>
          <cell r="M13">
            <v>1</v>
          </cell>
        </row>
        <row r="14">
          <cell r="B14" t="str">
            <v>T12 8' Fluorescent, 2-F96T12ES 60W, 1-MAG EE</v>
          </cell>
          <cell r="C14" t="str">
            <v>F96T12ES</v>
          </cell>
          <cell r="D14">
            <v>2</v>
          </cell>
          <cell r="E14">
            <v>12000</v>
          </cell>
          <cell r="F14">
            <v>6.52</v>
          </cell>
          <cell r="G14">
            <v>5.9997872340425529</v>
          </cell>
          <cell r="H14">
            <v>0.09</v>
          </cell>
          <cell r="I14">
            <v>60000</v>
          </cell>
          <cell r="J14">
            <v>23</v>
          </cell>
          <cell r="K14">
            <v>21.164893617021278</v>
          </cell>
          <cell r="L14">
            <v>0.33</v>
          </cell>
          <cell r="M14">
            <v>1</v>
          </cell>
        </row>
        <row r="15">
          <cell r="B15" t="str">
            <v>T12 8' Fluorescent, 2-F96T12ES 60W, 1-MAG EE</v>
          </cell>
          <cell r="C15" t="str">
            <v>F96T12ES</v>
          </cell>
          <cell r="D15">
            <v>2</v>
          </cell>
          <cell r="E15">
            <v>12000</v>
          </cell>
          <cell r="F15">
            <v>6.52</v>
          </cell>
          <cell r="G15">
            <v>5.9997872340425529</v>
          </cell>
          <cell r="H15">
            <v>0.09</v>
          </cell>
          <cell r="I15">
            <v>60000</v>
          </cell>
          <cell r="J15">
            <v>23</v>
          </cell>
          <cell r="K15">
            <v>21.164893617021278</v>
          </cell>
          <cell r="L15">
            <v>0.33</v>
          </cell>
          <cell r="M15">
            <v>1</v>
          </cell>
        </row>
        <row r="16">
          <cell r="B16" t="str">
            <v>T12 8' Fluorescent, 2-F96T12HOES 95W, 1-MAG</v>
          </cell>
          <cell r="C16" t="str">
            <v>F96T12HOES</v>
          </cell>
          <cell r="D16">
            <v>2</v>
          </cell>
          <cell r="E16">
            <v>12000</v>
          </cell>
          <cell r="F16">
            <v>7.63</v>
          </cell>
          <cell r="G16">
            <v>7.021223404255319</v>
          </cell>
          <cell r="H16">
            <v>0.09</v>
          </cell>
          <cell r="I16">
            <v>60000</v>
          </cell>
          <cell r="J16">
            <v>41</v>
          </cell>
          <cell r="K16">
            <v>37.728723404255319</v>
          </cell>
          <cell r="L16">
            <v>0.33</v>
          </cell>
          <cell r="M16">
            <v>1</v>
          </cell>
        </row>
        <row r="17">
          <cell r="B17" t="str">
            <v>T12 8' Fluorescent, 2-F96T12VHOES 185W, 1-MAG</v>
          </cell>
          <cell r="C17" t="str">
            <v>F96T12VHOES</v>
          </cell>
          <cell r="D17">
            <v>2</v>
          </cell>
          <cell r="E17">
            <v>10000</v>
          </cell>
          <cell r="F17">
            <v>12.58</v>
          </cell>
          <cell r="G17">
            <v>11.576276595744682</v>
          </cell>
          <cell r="H17">
            <v>0.09</v>
          </cell>
          <cell r="I17">
            <v>60000</v>
          </cell>
          <cell r="J17">
            <v>63</v>
          </cell>
          <cell r="K17">
            <v>57.973404255319153</v>
          </cell>
          <cell r="L17">
            <v>0.33</v>
          </cell>
          <cell r="M17">
            <v>1</v>
          </cell>
        </row>
        <row r="18">
          <cell r="B18" t="str">
            <v>T12 8' Fluorescent, 2-F96T12VHOES 185W, 1-MAG</v>
          </cell>
          <cell r="C18" t="str">
            <v>F96T12VHOES</v>
          </cell>
          <cell r="D18">
            <v>2</v>
          </cell>
          <cell r="E18">
            <v>10000</v>
          </cell>
          <cell r="F18">
            <v>12.58</v>
          </cell>
          <cell r="G18">
            <v>11.576276595744682</v>
          </cell>
          <cell r="H18">
            <v>0.09</v>
          </cell>
          <cell r="I18">
            <v>60000</v>
          </cell>
          <cell r="J18">
            <v>63</v>
          </cell>
          <cell r="K18">
            <v>57.973404255319153</v>
          </cell>
          <cell r="L18">
            <v>0.33</v>
          </cell>
          <cell r="M18">
            <v>1</v>
          </cell>
        </row>
        <row r="19">
          <cell r="B19" t="str">
            <v>T8 Fluorescent, 2-F32T8 32W, 1-ELEC</v>
          </cell>
          <cell r="C19" t="str">
            <v>F32T8</v>
          </cell>
          <cell r="D19">
            <v>2</v>
          </cell>
          <cell r="E19">
            <v>24000</v>
          </cell>
          <cell r="F19">
            <v>2.5</v>
          </cell>
          <cell r="G19">
            <v>2.3005319148936172</v>
          </cell>
          <cell r="H19">
            <v>0.09</v>
          </cell>
          <cell r="I19">
            <v>60000</v>
          </cell>
          <cell r="J19">
            <v>12</v>
          </cell>
          <cell r="K19">
            <v>11.042553191489361</v>
          </cell>
          <cell r="L19">
            <v>0.33</v>
          </cell>
          <cell r="M19">
            <v>1</v>
          </cell>
        </row>
        <row r="20">
          <cell r="B20" t="str">
            <v>T8 Fluorescent, 3-F32T8 32W, 1-ELEC</v>
          </cell>
          <cell r="C20" t="str">
            <v>F32T8</v>
          </cell>
          <cell r="D20">
            <v>3</v>
          </cell>
          <cell r="E20">
            <v>24000</v>
          </cell>
          <cell r="F20">
            <v>2.5</v>
          </cell>
          <cell r="G20">
            <v>2.3005319148936172</v>
          </cell>
          <cell r="H20">
            <v>0.09</v>
          </cell>
          <cell r="I20">
            <v>60000</v>
          </cell>
          <cell r="J20">
            <v>14</v>
          </cell>
          <cell r="K20">
            <v>12.882978723404255</v>
          </cell>
          <cell r="L20">
            <v>0.33</v>
          </cell>
          <cell r="M20">
            <v>1</v>
          </cell>
        </row>
        <row r="21">
          <cell r="B21" t="str">
            <v>T8 Fluorescent, 3-F32T8 32W, 1-ELEC</v>
          </cell>
          <cell r="C21" t="str">
            <v>F32T8</v>
          </cell>
          <cell r="D21">
            <v>3</v>
          </cell>
          <cell r="E21">
            <v>24000</v>
          </cell>
          <cell r="F21">
            <v>2.5</v>
          </cell>
          <cell r="G21">
            <v>2.3005319148936172</v>
          </cell>
          <cell r="H21">
            <v>0.09</v>
          </cell>
          <cell r="I21">
            <v>60000</v>
          </cell>
          <cell r="J21">
            <v>14</v>
          </cell>
          <cell r="K21">
            <v>12.882978723404255</v>
          </cell>
          <cell r="L21">
            <v>0.33</v>
          </cell>
          <cell r="M21">
            <v>1</v>
          </cell>
        </row>
        <row r="22">
          <cell r="B22" t="str">
            <v>T8 Fluorescent, 4-F32T8 32W, 1-ELEC</v>
          </cell>
          <cell r="C22" t="str">
            <v>F32T8</v>
          </cell>
          <cell r="D22">
            <v>4</v>
          </cell>
          <cell r="E22">
            <v>24000</v>
          </cell>
          <cell r="F22">
            <v>2.5</v>
          </cell>
          <cell r="G22">
            <v>2.3005319148936172</v>
          </cell>
          <cell r="H22">
            <v>0.09</v>
          </cell>
          <cell r="I22">
            <v>60000</v>
          </cell>
          <cell r="J22">
            <v>15</v>
          </cell>
          <cell r="K22">
            <v>13.803191489361703</v>
          </cell>
          <cell r="L22">
            <v>0.33</v>
          </cell>
          <cell r="M22">
            <v>1</v>
          </cell>
        </row>
        <row r="23">
          <cell r="B23" t="str">
            <v>T8 Fluorescent, 4-F32T8 32W, 1-ELEC</v>
          </cell>
          <cell r="C23" t="str">
            <v>F32T8</v>
          </cell>
          <cell r="D23">
            <v>4</v>
          </cell>
          <cell r="E23">
            <v>24000</v>
          </cell>
          <cell r="F23">
            <v>2.5</v>
          </cell>
          <cell r="G23">
            <v>2.3005319148936172</v>
          </cell>
          <cell r="H23">
            <v>0.09</v>
          </cell>
          <cell r="I23">
            <v>60000</v>
          </cell>
          <cell r="J23">
            <v>15</v>
          </cell>
          <cell r="K23">
            <v>13.803191489361703</v>
          </cell>
          <cell r="L23">
            <v>0.33</v>
          </cell>
          <cell r="M23">
            <v>1</v>
          </cell>
        </row>
        <row r="24">
          <cell r="B24" t="str">
            <v>T8 Fluorescent, 2-F96T8HO 86W, 1-ELEC</v>
          </cell>
          <cell r="C24" t="str">
            <v>F96T8HO</v>
          </cell>
          <cell r="D24">
            <v>2</v>
          </cell>
          <cell r="E24">
            <v>10000</v>
          </cell>
          <cell r="F24">
            <v>12.61</v>
          </cell>
          <cell r="G24">
            <v>11.603882978723403</v>
          </cell>
          <cell r="H24">
            <v>0.09</v>
          </cell>
          <cell r="I24">
            <v>45000</v>
          </cell>
          <cell r="J24">
            <v>21</v>
          </cell>
          <cell r="K24">
            <v>19.324468085106382</v>
          </cell>
          <cell r="L24">
            <v>0.33</v>
          </cell>
          <cell r="M24">
            <v>1</v>
          </cell>
        </row>
        <row r="25">
          <cell r="B25" t="str">
            <v>Metal Halide, 1-STD 1000W, 1-MAG</v>
          </cell>
          <cell r="C25" t="str">
            <v>STD</v>
          </cell>
          <cell r="D25">
            <v>1</v>
          </cell>
          <cell r="E25">
            <v>12000</v>
          </cell>
          <cell r="F25">
            <v>45</v>
          </cell>
          <cell r="G25">
            <v>41.409574468085104</v>
          </cell>
          <cell r="H25">
            <v>0.4</v>
          </cell>
          <cell r="I25">
            <v>45000</v>
          </cell>
          <cell r="J25">
            <v>50</v>
          </cell>
          <cell r="K25">
            <v>46.01063829787234</v>
          </cell>
          <cell r="L25">
            <v>1.4</v>
          </cell>
          <cell r="M25">
            <v>1</v>
          </cell>
        </row>
        <row r="26">
          <cell r="B26" t="str">
            <v>Metal Halide, 1-STD 100W, 1-MAG</v>
          </cell>
          <cell r="C26" t="str">
            <v>STD</v>
          </cell>
          <cell r="D26">
            <v>1</v>
          </cell>
          <cell r="E26">
            <v>10000</v>
          </cell>
          <cell r="F26">
            <v>20</v>
          </cell>
          <cell r="G26">
            <v>18.404255319148938</v>
          </cell>
          <cell r="H26">
            <v>0.4</v>
          </cell>
          <cell r="I26">
            <v>45000</v>
          </cell>
          <cell r="J26">
            <v>50</v>
          </cell>
          <cell r="K26">
            <v>46.01063829787234</v>
          </cell>
          <cell r="L26">
            <v>1.4</v>
          </cell>
          <cell r="M26">
            <v>1</v>
          </cell>
        </row>
        <row r="27">
          <cell r="B27" t="str">
            <v>Metal Halide, 1-STD 150W, 1-MAG</v>
          </cell>
          <cell r="C27" t="str">
            <v>STD</v>
          </cell>
          <cell r="D27">
            <v>1</v>
          </cell>
          <cell r="E27">
            <v>10000</v>
          </cell>
          <cell r="F27">
            <v>20</v>
          </cell>
          <cell r="G27">
            <v>18.404255319148938</v>
          </cell>
          <cell r="H27">
            <v>0.4</v>
          </cell>
          <cell r="I27">
            <v>45000</v>
          </cell>
          <cell r="J27">
            <v>45</v>
          </cell>
          <cell r="K27">
            <v>41.409574468085104</v>
          </cell>
          <cell r="L27">
            <v>1.4</v>
          </cell>
          <cell r="M27">
            <v>1</v>
          </cell>
        </row>
        <row r="28">
          <cell r="B28" t="str">
            <v>Metal Halide, 1-STD 175W, 1-MAG</v>
          </cell>
          <cell r="C28" t="str">
            <v>STD</v>
          </cell>
          <cell r="D28">
            <v>1</v>
          </cell>
          <cell r="E28">
            <v>10000</v>
          </cell>
          <cell r="F28">
            <v>20</v>
          </cell>
          <cell r="G28">
            <v>18.404255319148938</v>
          </cell>
          <cell r="H28">
            <v>0.4</v>
          </cell>
          <cell r="I28">
            <v>45000</v>
          </cell>
          <cell r="J28">
            <v>48</v>
          </cell>
          <cell r="K28">
            <v>44.170212765957444</v>
          </cell>
          <cell r="L28">
            <v>1.4</v>
          </cell>
          <cell r="M28">
            <v>1</v>
          </cell>
        </row>
        <row r="29">
          <cell r="B29" t="str">
            <v>Metal Halide, 1-STD 250W, 1-MAG</v>
          </cell>
          <cell r="C29" t="str">
            <v>STD</v>
          </cell>
          <cell r="D29">
            <v>1</v>
          </cell>
          <cell r="E29">
            <v>10000</v>
          </cell>
          <cell r="F29">
            <v>20</v>
          </cell>
          <cell r="G29">
            <v>18.404255319148938</v>
          </cell>
          <cell r="H29">
            <v>0.4</v>
          </cell>
          <cell r="I29">
            <v>45000</v>
          </cell>
          <cell r="J29">
            <v>61</v>
          </cell>
          <cell r="K29">
            <v>56.132978723404257</v>
          </cell>
          <cell r="L29">
            <v>1.4</v>
          </cell>
          <cell r="M29">
            <v>1</v>
          </cell>
        </row>
        <row r="30">
          <cell r="B30" t="str">
            <v>Metal Halide, 1-STD 400W, 1-MAG</v>
          </cell>
          <cell r="C30" t="str">
            <v>STD</v>
          </cell>
          <cell r="D30">
            <v>1</v>
          </cell>
          <cell r="E30">
            <v>12000</v>
          </cell>
          <cell r="F30">
            <v>20</v>
          </cell>
          <cell r="G30">
            <v>18.404255319148938</v>
          </cell>
          <cell r="H30">
            <v>0.4</v>
          </cell>
          <cell r="I30">
            <v>45000</v>
          </cell>
          <cell r="J30">
            <v>50</v>
          </cell>
          <cell r="K30">
            <v>46.01063829787234</v>
          </cell>
          <cell r="L30">
            <v>1.4</v>
          </cell>
          <cell r="M30">
            <v>1</v>
          </cell>
        </row>
        <row r="31">
          <cell r="B31" t="str">
            <v>Metal Halide, 1-STD 50W, 1-MAG</v>
          </cell>
          <cell r="C31" t="str">
            <v>STD</v>
          </cell>
          <cell r="D31">
            <v>1</v>
          </cell>
          <cell r="E31">
            <v>10000</v>
          </cell>
          <cell r="F31">
            <v>25</v>
          </cell>
          <cell r="G31">
            <v>23.00531914893617</v>
          </cell>
          <cell r="H31">
            <v>0.4</v>
          </cell>
          <cell r="I31">
            <v>45000</v>
          </cell>
          <cell r="J31">
            <v>25</v>
          </cell>
          <cell r="K31">
            <v>23.00531914893617</v>
          </cell>
          <cell r="L31">
            <v>1.4</v>
          </cell>
          <cell r="M31">
            <v>1</v>
          </cell>
        </row>
        <row r="32">
          <cell r="B32" t="str">
            <v>Metal Halide, 1-STD 70W, 1-MAG</v>
          </cell>
          <cell r="C32" t="str">
            <v>STD</v>
          </cell>
          <cell r="D32">
            <v>1</v>
          </cell>
          <cell r="E32">
            <v>10000</v>
          </cell>
          <cell r="F32">
            <v>25</v>
          </cell>
          <cell r="G32">
            <v>23.00531914893617</v>
          </cell>
          <cell r="H32">
            <v>0.4</v>
          </cell>
          <cell r="I32">
            <v>45000</v>
          </cell>
          <cell r="J32">
            <v>25</v>
          </cell>
          <cell r="K32">
            <v>23.00531914893617</v>
          </cell>
          <cell r="L32">
            <v>1.4</v>
          </cell>
          <cell r="M32">
            <v>1</v>
          </cell>
        </row>
        <row r="33">
          <cell r="B33" t="str">
            <v>Incandescent, 1-PS40 500W, 1-None</v>
          </cell>
          <cell r="C33" t="str">
            <v>PS40</v>
          </cell>
          <cell r="D33">
            <v>1</v>
          </cell>
          <cell r="G33">
            <v>0</v>
          </cell>
          <cell r="K33">
            <v>0</v>
          </cell>
          <cell r="M33">
            <v>1</v>
          </cell>
        </row>
        <row r="34">
          <cell r="B34" t="str">
            <v>Incandescent, 1-PAR 150W, 1-None</v>
          </cell>
          <cell r="C34" t="str">
            <v>PAR</v>
          </cell>
          <cell r="D34">
            <v>1</v>
          </cell>
          <cell r="E34">
            <v>1750</v>
          </cell>
          <cell r="F34">
            <v>4.3499999999999996</v>
          </cell>
          <cell r="G34">
            <v>4.0029255319148938</v>
          </cell>
          <cell r="H34">
            <v>0.09</v>
          </cell>
          <cell r="K34">
            <v>0</v>
          </cell>
          <cell r="M34">
            <v>1</v>
          </cell>
        </row>
        <row r="35">
          <cell r="B35" t="str">
            <v>Incandescent, 1-R 150W, 1-None</v>
          </cell>
          <cell r="C35" t="str">
            <v>R</v>
          </cell>
          <cell r="D35">
            <v>1</v>
          </cell>
          <cell r="E35">
            <v>2000</v>
          </cell>
          <cell r="F35">
            <v>7</v>
          </cell>
          <cell r="G35">
            <v>6.4414893617021276</v>
          </cell>
          <cell r="H35">
            <v>0.09</v>
          </cell>
          <cell r="K35">
            <v>0</v>
          </cell>
          <cell r="M35">
            <v>1</v>
          </cell>
        </row>
        <row r="36">
          <cell r="B36" t="str">
            <v>Incandescent, 1-PAR 100W, 1-None</v>
          </cell>
          <cell r="C36" t="str">
            <v>PAR</v>
          </cell>
          <cell r="D36">
            <v>1</v>
          </cell>
          <cell r="E36">
            <v>2000</v>
          </cell>
          <cell r="F36">
            <v>4</v>
          </cell>
          <cell r="G36">
            <v>3.6808510638297873</v>
          </cell>
          <cell r="H36">
            <v>0.09</v>
          </cell>
          <cell r="K36">
            <v>0</v>
          </cell>
          <cell r="M36">
            <v>1</v>
          </cell>
        </row>
        <row r="37">
          <cell r="B37" t="str">
            <v>Mercury Vapor, 1-STD 1000W, 1-MAG</v>
          </cell>
          <cell r="C37" t="str">
            <v>STD</v>
          </cell>
          <cell r="D37">
            <v>1</v>
          </cell>
          <cell r="E37">
            <v>24000</v>
          </cell>
          <cell r="F37">
            <v>57</v>
          </cell>
          <cell r="G37">
            <v>52.452127659574472</v>
          </cell>
          <cell r="H37">
            <v>0.4</v>
          </cell>
          <cell r="I37">
            <v>45000</v>
          </cell>
          <cell r="J37">
            <v>50</v>
          </cell>
          <cell r="K37">
            <v>46.01063829787234</v>
          </cell>
          <cell r="L37">
            <v>1.4</v>
          </cell>
          <cell r="M37">
            <v>1</v>
          </cell>
        </row>
        <row r="38">
          <cell r="B38" t="str">
            <v>Mercury Vapor, 1-STD 100W, 1-MAG</v>
          </cell>
          <cell r="C38" t="str">
            <v>STD</v>
          </cell>
          <cell r="D38">
            <v>1</v>
          </cell>
          <cell r="E38">
            <v>24000</v>
          </cell>
          <cell r="F38">
            <v>20</v>
          </cell>
          <cell r="G38">
            <v>18.404255319148938</v>
          </cell>
          <cell r="H38">
            <v>0.4</v>
          </cell>
          <cell r="I38">
            <v>45000</v>
          </cell>
          <cell r="J38">
            <v>50</v>
          </cell>
          <cell r="K38">
            <v>46.01063829787234</v>
          </cell>
          <cell r="L38">
            <v>1.4</v>
          </cell>
          <cell r="M38">
            <v>1</v>
          </cell>
        </row>
        <row r="39">
          <cell r="B39" t="str">
            <v>Mercury Vapor, 1-STD 175W, 1-MAG</v>
          </cell>
          <cell r="C39" t="str">
            <v>STD</v>
          </cell>
          <cell r="D39">
            <v>1</v>
          </cell>
          <cell r="E39">
            <v>24000</v>
          </cell>
          <cell r="F39">
            <v>16</v>
          </cell>
          <cell r="G39">
            <v>14.723404255319149</v>
          </cell>
          <cell r="H39">
            <v>0.4</v>
          </cell>
          <cell r="I39">
            <v>45000</v>
          </cell>
          <cell r="J39">
            <v>50</v>
          </cell>
          <cell r="K39">
            <v>46.01063829787234</v>
          </cell>
          <cell r="L39">
            <v>1.4</v>
          </cell>
          <cell r="M39">
            <v>1</v>
          </cell>
        </row>
        <row r="40">
          <cell r="B40" t="str">
            <v>Mercury Vapor, 1-STD 250W, 1-MAG</v>
          </cell>
          <cell r="C40" t="str">
            <v>STD</v>
          </cell>
          <cell r="D40">
            <v>1</v>
          </cell>
          <cell r="E40">
            <v>24000</v>
          </cell>
          <cell r="F40">
            <v>12</v>
          </cell>
          <cell r="G40">
            <v>11.042553191489361</v>
          </cell>
          <cell r="H40">
            <v>0.4</v>
          </cell>
          <cell r="I40">
            <v>45000</v>
          </cell>
          <cell r="J40">
            <v>50</v>
          </cell>
          <cell r="K40">
            <v>46.01063829787234</v>
          </cell>
          <cell r="L40">
            <v>1.4</v>
          </cell>
          <cell r="M40">
            <v>1</v>
          </cell>
        </row>
        <row r="41">
          <cell r="B41" t="str">
            <v>Mercury Vapor, 1-STD 400W, 1-MAG</v>
          </cell>
          <cell r="C41" t="str">
            <v>STD</v>
          </cell>
          <cell r="D41">
            <v>1</v>
          </cell>
          <cell r="E41">
            <v>24000</v>
          </cell>
          <cell r="F41">
            <v>23</v>
          </cell>
          <cell r="G41">
            <v>21.164893617021278</v>
          </cell>
          <cell r="H41">
            <v>0.4</v>
          </cell>
          <cell r="I41">
            <v>45000</v>
          </cell>
          <cell r="J41">
            <v>50</v>
          </cell>
          <cell r="K41">
            <v>46.01063829787234</v>
          </cell>
          <cell r="L41">
            <v>1.4</v>
          </cell>
          <cell r="M41">
            <v>1</v>
          </cell>
        </row>
        <row r="42">
          <cell r="B42" t="str">
            <v>T8 High Performance, 2-F32T8HP 32W, 1-ELEC HP RLO</v>
          </cell>
          <cell r="C42" t="str">
            <v>F32T8HP</v>
          </cell>
          <cell r="D42">
            <v>2</v>
          </cell>
          <cell r="E42">
            <v>30000</v>
          </cell>
          <cell r="F42">
            <v>3.25</v>
          </cell>
          <cell r="G42">
            <v>2.9906914893617023</v>
          </cell>
          <cell r="H42">
            <v>0.09</v>
          </cell>
          <cell r="I42">
            <v>60000</v>
          </cell>
          <cell r="J42">
            <v>13.8</v>
          </cell>
          <cell r="K42">
            <v>12.698936170212766</v>
          </cell>
          <cell r="L42">
            <v>0.33</v>
          </cell>
          <cell r="M42">
            <v>1</v>
          </cell>
        </row>
        <row r="43">
          <cell r="B43" t="str">
            <v>T8 High Performance, 1-F32T8HP 32W, 1-ELEC HP HLO</v>
          </cell>
          <cell r="C43" t="str">
            <v>F32T8HP</v>
          </cell>
          <cell r="D43">
            <v>1</v>
          </cell>
          <cell r="E43">
            <v>30000</v>
          </cell>
          <cell r="F43">
            <v>3.25</v>
          </cell>
          <cell r="G43">
            <v>2.9906914893617023</v>
          </cell>
          <cell r="H43">
            <v>0.09</v>
          </cell>
          <cell r="I43">
            <v>60000</v>
          </cell>
          <cell r="J43">
            <v>13.8</v>
          </cell>
          <cell r="K43">
            <v>12.698936170212766</v>
          </cell>
          <cell r="L43">
            <v>0.33</v>
          </cell>
          <cell r="M43">
            <v>1</v>
          </cell>
        </row>
        <row r="44">
          <cell r="B44" t="str">
            <v>T8 High Performance, 1-F32T8HP 32W, 1-ELEC HP RLO</v>
          </cell>
          <cell r="C44" t="str">
            <v>F32T8HP</v>
          </cell>
          <cell r="D44">
            <v>1</v>
          </cell>
          <cell r="E44">
            <v>30000</v>
          </cell>
          <cell r="F44">
            <v>3.25</v>
          </cell>
          <cell r="G44">
            <v>2.9906914893617023</v>
          </cell>
          <cell r="H44">
            <v>0.09</v>
          </cell>
          <cell r="I44">
            <v>60000</v>
          </cell>
          <cell r="J44">
            <v>13.8</v>
          </cell>
          <cell r="K44">
            <v>12.698936170212766</v>
          </cell>
          <cell r="L44">
            <v>0.33</v>
          </cell>
          <cell r="M44">
            <v>1</v>
          </cell>
        </row>
        <row r="45">
          <cell r="B45" t="str">
            <v>T8 High Performance, 2-F32T8HP 32W, 1-ELEC HP</v>
          </cell>
          <cell r="C45" t="str">
            <v>F32T8HP</v>
          </cell>
          <cell r="D45">
            <v>2</v>
          </cell>
          <cell r="E45">
            <v>30000</v>
          </cell>
          <cell r="F45">
            <v>3.25</v>
          </cell>
          <cell r="G45">
            <v>2.9906914893617023</v>
          </cell>
          <cell r="H45">
            <v>0.09</v>
          </cell>
          <cell r="I45">
            <v>60000</v>
          </cell>
          <cell r="J45">
            <v>13.8</v>
          </cell>
          <cell r="K45">
            <v>12.698936170212766</v>
          </cell>
          <cell r="L45">
            <v>0.33</v>
          </cell>
          <cell r="M45">
            <v>1</v>
          </cell>
        </row>
        <row r="46">
          <cell r="B46" t="str">
            <v>T8 High Performance, 2-F32T8HP 32W, 1-ELEC HP</v>
          </cell>
          <cell r="C46" t="str">
            <v>F32T8HP</v>
          </cell>
          <cell r="D46">
            <v>2</v>
          </cell>
          <cell r="E46">
            <v>30000</v>
          </cell>
          <cell r="F46">
            <v>3.25</v>
          </cell>
          <cell r="G46">
            <v>2.9906914893617023</v>
          </cell>
          <cell r="H46">
            <v>0.09</v>
          </cell>
          <cell r="I46">
            <v>60000</v>
          </cell>
          <cell r="J46">
            <v>13.8</v>
          </cell>
          <cell r="K46">
            <v>12.698936170212766</v>
          </cell>
          <cell r="L46">
            <v>0.33</v>
          </cell>
          <cell r="M46">
            <v>1</v>
          </cell>
        </row>
        <row r="47">
          <cell r="B47" t="str">
            <v>T8 High Performance, 3-F32T8HP 32W, 1-ELEC HP</v>
          </cell>
          <cell r="C47" t="str">
            <v>F32T8HP</v>
          </cell>
          <cell r="D47">
            <v>3</v>
          </cell>
          <cell r="E47">
            <v>30000</v>
          </cell>
          <cell r="F47">
            <v>3.25</v>
          </cell>
          <cell r="G47">
            <v>2.9906914893617023</v>
          </cell>
          <cell r="H47">
            <v>0.09</v>
          </cell>
          <cell r="I47">
            <v>60000</v>
          </cell>
          <cell r="J47">
            <v>16.099999999999998</v>
          </cell>
          <cell r="K47">
            <v>14.815425531914892</v>
          </cell>
          <cell r="L47">
            <v>0.33</v>
          </cell>
          <cell r="M47">
            <v>1</v>
          </cell>
        </row>
        <row r="48">
          <cell r="B48" t="str">
            <v>T8 High Performance, 2-F32T8HP 32W, 1-ELEC HP HLO</v>
          </cell>
          <cell r="C48" t="str">
            <v>F32T8HP</v>
          </cell>
          <cell r="D48">
            <v>2</v>
          </cell>
          <cell r="E48">
            <v>30000</v>
          </cell>
          <cell r="F48">
            <v>3.25</v>
          </cell>
          <cell r="G48">
            <v>2.9906914893617023</v>
          </cell>
          <cell r="H48">
            <v>0.09</v>
          </cell>
          <cell r="I48">
            <v>60000</v>
          </cell>
          <cell r="J48">
            <v>13.8</v>
          </cell>
          <cell r="K48">
            <v>12.698936170212766</v>
          </cell>
          <cell r="L48">
            <v>0.33</v>
          </cell>
          <cell r="M48">
            <v>1</v>
          </cell>
        </row>
        <row r="49">
          <cell r="B49" t="str">
            <v>T8 High Performance, 2-F32T8HP 32W, 1-ELEC HP RLO</v>
          </cell>
          <cell r="C49" t="str">
            <v>F32T8HP</v>
          </cell>
          <cell r="D49">
            <v>2</v>
          </cell>
          <cell r="E49">
            <v>30000</v>
          </cell>
          <cell r="F49">
            <v>3.25</v>
          </cell>
          <cell r="G49">
            <v>2.9906914893617023</v>
          </cell>
          <cell r="H49">
            <v>0.09</v>
          </cell>
          <cell r="I49">
            <v>60000</v>
          </cell>
          <cell r="J49">
            <v>13.8</v>
          </cell>
          <cell r="K49">
            <v>12.698936170212766</v>
          </cell>
          <cell r="L49">
            <v>0.33</v>
          </cell>
          <cell r="M49">
            <v>1</v>
          </cell>
        </row>
        <row r="50">
          <cell r="B50" t="str">
            <v>T8 High Performance, 2-F32T8HP 32W, 1-ELEC HP</v>
          </cell>
          <cell r="C50" t="str">
            <v>F32T8HP</v>
          </cell>
          <cell r="D50">
            <v>2</v>
          </cell>
          <cell r="E50">
            <v>30000</v>
          </cell>
          <cell r="F50">
            <v>3.25</v>
          </cell>
          <cell r="G50">
            <v>2.9906914893617023</v>
          </cell>
          <cell r="H50">
            <v>0.09</v>
          </cell>
          <cell r="I50">
            <v>60000</v>
          </cell>
          <cell r="J50">
            <v>13.8</v>
          </cell>
          <cell r="K50">
            <v>12.698936170212766</v>
          </cell>
          <cell r="L50">
            <v>0.33</v>
          </cell>
          <cell r="M50">
            <v>1</v>
          </cell>
        </row>
        <row r="51">
          <cell r="B51" t="str">
            <v>T8 Fluorescent, 1-F96T8 59W, 1-ELEC</v>
          </cell>
          <cell r="C51" t="str">
            <v>F96T8</v>
          </cell>
          <cell r="D51">
            <v>1</v>
          </cell>
          <cell r="E51">
            <v>12000</v>
          </cell>
          <cell r="F51">
            <v>5.1100000000000003</v>
          </cell>
          <cell r="G51">
            <v>4.7022872340425534</v>
          </cell>
          <cell r="H51">
            <v>0.09</v>
          </cell>
          <cell r="I51">
            <v>60000</v>
          </cell>
          <cell r="J51">
            <v>21</v>
          </cell>
          <cell r="K51">
            <v>19.324468085106382</v>
          </cell>
          <cell r="L51">
            <v>0.33</v>
          </cell>
          <cell r="M51">
            <v>1</v>
          </cell>
        </row>
        <row r="52">
          <cell r="B52" t="str">
            <v>T8 Fluorescent, 4-F32T8 32W, 1-ELEC</v>
          </cell>
          <cell r="C52" t="str">
            <v>F32T8</v>
          </cell>
          <cell r="D52">
            <v>4</v>
          </cell>
          <cell r="E52">
            <v>24000</v>
          </cell>
          <cell r="F52">
            <v>2.5</v>
          </cell>
          <cell r="G52">
            <v>2.3005319148936172</v>
          </cell>
          <cell r="H52">
            <v>0.09</v>
          </cell>
          <cell r="I52">
            <v>60000</v>
          </cell>
          <cell r="J52">
            <v>15</v>
          </cell>
          <cell r="K52">
            <v>13.803191489361703</v>
          </cell>
          <cell r="L52">
            <v>0.33</v>
          </cell>
          <cell r="M52">
            <v>1</v>
          </cell>
        </row>
        <row r="53">
          <cell r="B53" t="str">
            <v>T8 Fluorescent, 1-F96T8 59W, 1-ELEC</v>
          </cell>
          <cell r="C53" t="str">
            <v>F96T8</v>
          </cell>
          <cell r="D53">
            <v>1</v>
          </cell>
          <cell r="E53">
            <v>12000</v>
          </cell>
          <cell r="F53">
            <v>5.1100000000000003</v>
          </cell>
          <cell r="G53">
            <v>4.7022872340425534</v>
          </cell>
          <cell r="H53">
            <v>0.09</v>
          </cell>
          <cell r="I53">
            <v>60000</v>
          </cell>
          <cell r="J53">
            <v>21</v>
          </cell>
          <cell r="K53">
            <v>19.324468085106382</v>
          </cell>
          <cell r="L53">
            <v>0.33</v>
          </cell>
          <cell r="M53">
            <v>1</v>
          </cell>
        </row>
        <row r="54">
          <cell r="B54" t="str">
            <v>T8 Fluorescent, 4-F32T8 32W, 2-ELEC HLO</v>
          </cell>
          <cell r="C54" t="str">
            <v>F32T8</v>
          </cell>
          <cell r="D54">
            <v>4</v>
          </cell>
          <cell r="E54">
            <v>24000</v>
          </cell>
          <cell r="F54">
            <v>2.5</v>
          </cell>
          <cell r="G54">
            <v>2.3005319148936172</v>
          </cell>
          <cell r="H54">
            <v>0.09</v>
          </cell>
          <cell r="I54">
            <v>60000</v>
          </cell>
          <cell r="J54">
            <v>15</v>
          </cell>
          <cell r="K54">
            <v>13.803191489361703</v>
          </cell>
          <cell r="L54">
            <v>0.33</v>
          </cell>
          <cell r="M54">
            <v>2</v>
          </cell>
        </row>
        <row r="55">
          <cell r="B55" t="str">
            <v>T8 Fluorescent, 2-F96T8HO 86W, 1-ELEC</v>
          </cell>
          <cell r="C55" t="str">
            <v>F96T8HO</v>
          </cell>
          <cell r="D55">
            <v>2</v>
          </cell>
          <cell r="E55">
            <v>12000</v>
          </cell>
          <cell r="F55">
            <v>12.61</v>
          </cell>
          <cell r="G55">
            <v>11.603882978723403</v>
          </cell>
          <cell r="H55">
            <v>0.09</v>
          </cell>
          <cell r="I55">
            <v>60000</v>
          </cell>
          <cell r="J55">
            <v>21</v>
          </cell>
          <cell r="K55">
            <v>19.324468085106382</v>
          </cell>
          <cell r="L55">
            <v>0.33</v>
          </cell>
          <cell r="M55">
            <v>1</v>
          </cell>
        </row>
        <row r="56">
          <cell r="B56" t="str">
            <v>T8 High Performance, 4-F32T8HP 32W, 2-ELEC HP HLO</v>
          </cell>
          <cell r="C56" t="str">
            <v>F32T8HP</v>
          </cell>
          <cell r="D56">
            <v>4</v>
          </cell>
          <cell r="E56">
            <v>30000</v>
          </cell>
          <cell r="F56">
            <v>3.25</v>
          </cell>
          <cell r="G56">
            <v>2.9906914893617023</v>
          </cell>
          <cell r="H56">
            <v>0.09</v>
          </cell>
          <cell r="I56">
            <v>60000</v>
          </cell>
          <cell r="J56">
            <v>17.25</v>
          </cell>
          <cell r="K56">
            <v>15.873670212765958</v>
          </cell>
          <cell r="L56">
            <v>0.33</v>
          </cell>
          <cell r="M56">
            <v>2</v>
          </cell>
        </row>
        <row r="57">
          <cell r="B57" t="str">
            <v>T8 High Performance, 2-F32T8HP 32W, 1-ELEC HP RLO</v>
          </cell>
          <cell r="C57" t="str">
            <v>F32T8HP</v>
          </cell>
          <cell r="D57">
            <v>2</v>
          </cell>
          <cell r="E57">
            <v>30000</v>
          </cell>
          <cell r="F57">
            <v>3.25</v>
          </cell>
          <cell r="G57">
            <v>2.9906914893617023</v>
          </cell>
          <cell r="H57">
            <v>0.09</v>
          </cell>
          <cell r="I57">
            <v>60000</v>
          </cell>
          <cell r="J57">
            <v>13.8</v>
          </cell>
          <cell r="K57">
            <v>12.698936170212766</v>
          </cell>
          <cell r="L57">
            <v>0.33</v>
          </cell>
          <cell r="M57">
            <v>1</v>
          </cell>
        </row>
        <row r="58">
          <cell r="B58" t="str">
            <v>T8 High Performance, 3-F32T8HP 32W, 1-ELEC HP RLO</v>
          </cell>
          <cell r="C58" t="str">
            <v>F32T8HP</v>
          </cell>
          <cell r="D58">
            <v>3</v>
          </cell>
          <cell r="E58">
            <v>30000</v>
          </cell>
          <cell r="F58">
            <v>3.25</v>
          </cell>
          <cell r="G58">
            <v>2.9906914893617023</v>
          </cell>
          <cell r="H58">
            <v>0.09</v>
          </cell>
          <cell r="I58">
            <v>60000</v>
          </cell>
          <cell r="J58">
            <v>16.099999999999998</v>
          </cell>
          <cell r="K58">
            <v>14.815425531914892</v>
          </cell>
          <cell r="L58">
            <v>0.33</v>
          </cell>
          <cell r="M58">
            <v>1</v>
          </cell>
        </row>
        <row r="59">
          <cell r="B59" t="str">
            <v>T8 High Performance, 2-F32T8HP 32W, 1-ELEC HP HLO</v>
          </cell>
          <cell r="C59" t="str">
            <v>F32T8HP</v>
          </cell>
          <cell r="D59">
            <v>2</v>
          </cell>
          <cell r="E59">
            <v>30000</v>
          </cell>
          <cell r="F59">
            <v>3.25</v>
          </cell>
          <cell r="G59">
            <v>2.9906914893617023</v>
          </cell>
          <cell r="H59">
            <v>0.09</v>
          </cell>
          <cell r="I59">
            <v>60000</v>
          </cell>
          <cell r="J59">
            <v>13.8</v>
          </cell>
          <cell r="K59">
            <v>12.698936170212766</v>
          </cell>
          <cell r="L59">
            <v>0.33</v>
          </cell>
          <cell r="M59">
            <v>1</v>
          </cell>
        </row>
        <row r="60">
          <cell r="B60" t="str">
            <v>T8 High Performance, 4-F32T8HP 32W, 1-ELEC HP RLO</v>
          </cell>
          <cell r="C60" t="str">
            <v>F32T8HP</v>
          </cell>
          <cell r="D60">
            <v>4</v>
          </cell>
          <cell r="E60">
            <v>30000</v>
          </cell>
          <cell r="F60">
            <v>3.25</v>
          </cell>
          <cell r="G60">
            <v>2.9906914893617023</v>
          </cell>
          <cell r="H60">
            <v>0.09</v>
          </cell>
          <cell r="I60">
            <v>60000</v>
          </cell>
          <cell r="J60">
            <v>17.25</v>
          </cell>
          <cell r="K60">
            <v>15.873670212765958</v>
          </cell>
          <cell r="L60">
            <v>0.33</v>
          </cell>
          <cell r="M60">
            <v>1</v>
          </cell>
        </row>
        <row r="61">
          <cell r="B61" t="str">
            <v>T8 Fluorescent, 3-F32T8 32W, 1-ELEC</v>
          </cell>
          <cell r="C61" t="str">
            <v>F32T8</v>
          </cell>
          <cell r="D61">
            <v>3</v>
          </cell>
          <cell r="E61">
            <v>24000</v>
          </cell>
          <cell r="F61">
            <v>2.5</v>
          </cell>
          <cell r="G61">
            <v>2.3005319148936172</v>
          </cell>
          <cell r="H61">
            <v>0.09</v>
          </cell>
          <cell r="I61">
            <v>60000</v>
          </cell>
          <cell r="J61">
            <v>13</v>
          </cell>
          <cell r="K61">
            <v>11.962765957446809</v>
          </cell>
          <cell r="L61">
            <v>0.33</v>
          </cell>
          <cell r="M61">
            <v>1</v>
          </cell>
        </row>
        <row r="62">
          <cell r="B62" t="str">
            <v>T8 High Performance, 4-F32T8HP 32W, 2-ELEC HP HLO</v>
          </cell>
          <cell r="C62" t="str">
            <v>F32T8HP</v>
          </cell>
          <cell r="D62">
            <v>4</v>
          </cell>
          <cell r="E62">
            <v>30000</v>
          </cell>
          <cell r="F62">
            <v>3.25</v>
          </cell>
          <cell r="G62">
            <v>2.9906914893617023</v>
          </cell>
          <cell r="H62">
            <v>0.09</v>
          </cell>
          <cell r="I62">
            <v>60000</v>
          </cell>
          <cell r="J62">
            <v>16.099999999999998</v>
          </cell>
          <cell r="K62">
            <v>14.815425531914892</v>
          </cell>
          <cell r="L62">
            <v>0.33</v>
          </cell>
          <cell r="M62">
            <v>2</v>
          </cell>
        </row>
        <row r="63">
          <cell r="B63" t="str">
            <v>MH Pulse Start, 1-PS 750W, 1-MAG</v>
          </cell>
          <cell r="C63" t="str">
            <v>PS</v>
          </cell>
          <cell r="D63">
            <v>1</v>
          </cell>
          <cell r="E63">
            <v>20000</v>
          </cell>
          <cell r="F63">
            <v>68</v>
          </cell>
          <cell r="G63">
            <v>62.574468085106382</v>
          </cell>
          <cell r="H63">
            <v>0.4</v>
          </cell>
          <cell r="I63">
            <v>30000</v>
          </cell>
          <cell r="J63">
            <v>70</v>
          </cell>
          <cell r="K63">
            <v>64.414893617021278</v>
          </cell>
          <cell r="L63">
            <v>1.4</v>
          </cell>
          <cell r="M63">
            <v>1</v>
          </cell>
        </row>
        <row r="64">
          <cell r="B64" t="str">
            <v>Hard-Wired CFL, 2-PL 42W, 1-ELEC</v>
          </cell>
          <cell r="C64" t="str">
            <v>PL</v>
          </cell>
          <cell r="D64">
            <v>2</v>
          </cell>
          <cell r="E64">
            <v>10000</v>
          </cell>
          <cell r="F64">
            <v>5.5</v>
          </cell>
          <cell r="G64">
            <v>5.0611702127659575</v>
          </cell>
          <cell r="H64">
            <v>0.09</v>
          </cell>
          <cell r="I64">
            <v>30000</v>
          </cell>
          <cell r="J64">
            <v>10</v>
          </cell>
          <cell r="K64">
            <v>9.2021276595744688</v>
          </cell>
          <cell r="L64">
            <v>0.33</v>
          </cell>
          <cell r="M64">
            <v>1</v>
          </cell>
        </row>
        <row r="65">
          <cell r="B65" t="str">
            <v>T8 High Performance, 4-F32T8HP 32W, 1-ELEC HP</v>
          </cell>
          <cell r="C65" t="str">
            <v>F32T8HP</v>
          </cell>
          <cell r="D65">
            <v>4</v>
          </cell>
          <cell r="E65">
            <v>30000</v>
          </cell>
          <cell r="F65">
            <v>3.25</v>
          </cell>
          <cell r="G65">
            <v>2.9906914893617023</v>
          </cell>
          <cell r="H65">
            <v>0.09</v>
          </cell>
          <cell r="I65">
            <v>60000</v>
          </cell>
          <cell r="J65">
            <v>16.099999999999998</v>
          </cell>
          <cell r="K65">
            <v>14.815425531914892</v>
          </cell>
          <cell r="L65">
            <v>0.33</v>
          </cell>
          <cell r="M65">
            <v>1</v>
          </cell>
        </row>
        <row r="66">
          <cell r="B66" t="str">
            <v>T5HO Fluorescent, 2-F54T5HO 54W, 1-ELEC</v>
          </cell>
          <cell r="C66" t="str">
            <v>F54T5HO</v>
          </cell>
          <cell r="D66">
            <v>2</v>
          </cell>
          <cell r="E66">
            <v>20000</v>
          </cell>
          <cell r="F66">
            <v>8.2200000000000006</v>
          </cell>
          <cell r="G66">
            <v>7.5641489361702137</v>
          </cell>
          <cell r="H66">
            <v>0.09</v>
          </cell>
          <cell r="I66">
            <v>60000</v>
          </cell>
          <cell r="J66">
            <v>38</v>
          </cell>
          <cell r="K66">
            <v>34.968085106382979</v>
          </cell>
          <cell r="L66">
            <v>0.33</v>
          </cell>
          <cell r="M66">
            <v>1</v>
          </cell>
        </row>
        <row r="67">
          <cell r="B67" t="str">
            <v>T5HO Fluorescent, 3-F54T5HO 54W, 1-ELEC</v>
          </cell>
          <cell r="C67" t="str">
            <v>F54T5HO</v>
          </cell>
          <cell r="D67">
            <v>3</v>
          </cell>
          <cell r="E67">
            <v>20000</v>
          </cell>
          <cell r="F67">
            <v>8.2200000000000006</v>
          </cell>
          <cell r="G67">
            <v>7.5641489361702137</v>
          </cell>
          <cell r="H67">
            <v>0.09</v>
          </cell>
          <cell r="I67">
            <v>60000</v>
          </cell>
          <cell r="J67">
            <v>38</v>
          </cell>
          <cell r="K67">
            <v>34.968085106382979</v>
          </cell>
          <cell r="L67">
            <v>0.33</v>
          </cell>
          <cell r="M67">
            <v>1</v>
          </cell>
        </row>
        <row r="68">
          <cell r="B68" t="str">
            <v>T5HO Fluorescent, 4-F54T5HO 54W, 1-ELEC</v>
          </cell>
          <cell r="C68" t="str">
            <v>F54T5HO</v>
          </cell>
          <cell r="D68">
            <v>4</v>
          </cell>
          <cell r="E68">
            <v>20000</v>
          </cell>
          <cell r="F68">
            <v>8.2200000000000006</v>
          </cell>
          <cell r="G68">
            <v>7.5641489361702137</v>
          </cell>
          <cell r="H68">
            <v>0.09</v>
          </cell>
          <cell r="I68">
            <v>60000</v>
          </cell>
          <cell r="J68">
            <v>40</v>
          </cell>
          <cell r="K68">
            <v>36.808510638297875</v>
          </cell>
          <cell r="L68">
            <v>0.33</v>
          </cell>
          <cell r="M68">
            <v>1</v>
          </cell>
        </row>
        <row r="69">
          <cell r="B69" t="str">
            <v>T5HO Fluorescent, 6-F54T5HO 54W, 1-ELEC</v>
          </cell>
          <cell r="C69" t="str">
            <v>F54T5HO</v>
          </cell>
          <cell r="D69">
            <v>6</v>
          </cell>
          <cell r="E69">
            <v>20000</v>
          </cell>
          <cell r="F69">
            <v>8.2200000000000006</v>
          </cell>
          <cell r="G69">
            <v>7.5641489361702137</v>
          </cell>
          <cell r="H69">
            <v>0.09</v>
          </cell>
          <cell r="I69">
            <v>60000</v>
          </cell>
          <cell r="J69">
            <v>42</v>
          </cell>
          <cell r="K69">
            <v>38.648936170212764</v>
          </cell>
          <cell r="L69">
            <v>0.33</v>
          </cell>
          <cell r="M69">
            <v>1</v>
          </cell>
        </row>
        <row r="70">
          <cell r="B70" t="str">
            <v>Hard-Wired CFL, 1-PL 26W, 1-MAG</v>
          </cell>
          <cell r="C70" t="str">
            <v>PL</v>
          </cell>
          <cell r="D70">
            <v>1</v>
          </cell>
          <cell r="E70">
            <v>10000</v>
          </cell>
          <cell r="F70">
            <v>3.3</v>
          </cell>
          <cell r="G70">
            <v>3.0367021276595745</v>
          </cell>
          <cell r="H70">
            <v>0.09</v>
          </cell>
          <cell r="I70">
            <v>30000</v>
          </cell>
          <cell r="J70">
            <v>10</v>
          </cell>
          <cell r="K70">
            <v>9.2021276595744688</v>
          </cell>
          <cell r="L70">
            <v>0.33</v>
          </cell>
          <cell r="M70">
            <v>1</v>
          </cell>
        </row>
        <row r="71">
          <cell r="B71" t="str">
            <v>Hard-Wired CFL, 1-PL 32W, 1-ELEC</v>
          </cell>
          <cell r="C71" t="str">
            <v>PL</v>
          </cell>
          <cell r="D71">
            <v>1</v>
          </cell>
          <cell r="E71">
            <v>10000</v>
          </cell>
          <cell r="F71">
            <v>5.2</v>
          </cell>
          <cell r="G71">
            <v>4.7851063829787233</v>
          </cell>
          <cell r="H71">
            <v>0.09</v>
          </cell>
          <cell r="I71">
            <v>30000</v>
          </cell>
          <cell r="J71">
            <v>10</v>
          </cell>
          <cell r="K71">
            <v>9.2021276595744688</v>
          </cell>
          <cell r="L71">
            <v>0.33</v>
          </cell>
          <cell r="M71">
            <v>1</v>
          </cell>
        </row>
        <row r="72">
          <cell r="B72" t="str">
            <v>Hard-Wired CFL, 2-PL 26W, 1-ELEC</v>
          </cell>
          <cell r="C72" t="str">
            <v>PL</v>
          </cell>
          <cell r="D72">
            <v>2</v>
          </cell>
          <cell r="E72">
            <v>10000</v>
          </cell>
          <cell r="F72">
            <v>3.3</v>
          </cell>
          <cell r="G72">
            <v>3.0367021276595745</v>
          </cell>
          <cell r="H72">
            <v>0.09</v>
          </cell>
          <cell r="I72">
            <v>30000</v>
          </cell>
          <cell r="J72">
            <v>10</v>
          </cell>
          <cell r="K72">
            <v>9.2021276595744688</v>
          </cell>
          <cell r="L72">
            <v>0.33</v>
          </cell>
          <cell r="M72">
            <v>1</v>
          </cell>
        </row>
        <row r="73">
          <cell r="B73" t="str">
            <v>Ceramic Metal Halide, 1-SE 150W, 1-ELEC</v>
          </cell>
          <cell r="C73" t="str">
            <v>SE</v>
          </cell>
          <cell r="D73">
            <v>1</v>
          </cell>
          <cell r="E73">
            <v>20000</v>
          </cell>
          <cell r="F73">
            <v>47</v>
          </cell>
          <cell r="G73">
            <v>43.25</v>
          </cell>
          <cell r="H73">
            <v>0.4</v>
          </cell>
          <cell r="I73">
            <v>30000</v>
          </cell>
          <cell r="J73">
            <v>50</v>
          </cell>
          <cell r="K73">
            <v>46.01063829787234</v>
          </cell>
          <cell r="L73">
            <v>1.4</v>
          </cell>
          <cell r="M73">
            <v>1</v>
          </cell>
        </row>
        <row r="74">
          <cell r="B74" t="str">
            <v>Ceramic Metal Halide, 1-PAR 39W, 1-ELEC</v>
          </cell>
          <cell r="C74" t="str">
            <v>PAR</v>
          </cell>
          <cell r="D74">
            <v>1</v>
          </cell>
          <cell r="E74">
            <v>9000</v>
          </cell>
          <cell r="F74">
            <v>47</v>
          </cell>
          <cell r="G74">
            <v>43.25</v>
          </cell>
          <cell r="H74">
            <v>0.4</v>
          </cell>
          <cell r="I74">
            <v>30000</v>
          </cell>
          <cell r="J74">
            <v>50</v>
          </cell>
          <cell r="K74">
            <v>46.01063829787234</v>
          </cell>
          <cell r="L74">
            <v>1.4</v>
          </cell>
          <cell r="M74">
            <v>1</v>
          </cell>
        </row>
        <row r="75">
          <cell r="B75" t="str">
            <v>Ceramic Metal Halide, 1-PAR 39W, 1-ELEC</v>
          </cell>
          <cell r="C75" t="str">
            <v>PAR</v>
          </cell>
          <cell r="D75">
            <v>1</v>
          </cell>
          <cell r="E75">
            <v>9000</v>
          </cell>
          <cell r="F75">
            <v>47</v>
          </cell>
          <cell r="G75">
            <v>43.25</v>
          </cell>
          <cell r="H75">
            <v>0.4</v>
          </cell>
          <cell r="I75">
            <v>30000</v>
          </cell>
          <cell r="J75">
            <v>50</v>
          </cell>
          <cell r="K75">
            <v>46.01063829787234</v>
          </cell>
          <cell r="L75">
            <v>1.4</v>
          </cell>
          <cell r="M75">
            <v>1</v>
          </cell>
        </row>
        <row r="76">
          <cell r="B76" t="str">
            <v>MH Pulse Start, 1-PS 400W, 1-ELEC</v>
          </cell>
          <cell r="C76" t="str">
            <v>PS</v>
          </cell>
          <cell r="D76">
            <v>1</v>
          </cell>
          <cell r="E76">
            <v>20000</v>
          </cell>
          <cell r="F76">
            <v>30</v>
          </cell>
          <cell r="G76">
            <v>27.606382978723406</v>
          </cell>
          <cell r="H76">
            <v>0.4</v>
          </cell>
          <cell r="I76">
            <v>30000</v>
          </cell>
          <cell r="J76">
            <v>70</v>
          </cell>
          <cell r="K76">
            <v>64.414893617021278</v>
          </cell>
          <cell r="L76">
            <v>1.4</v>
          </cell>
          <cell r="M76">
            <v>1</v>
          </cell>
        </row>
        <row r="77">
          <cell r="B77" t="str">
            <v>Hard-Wired CFL, 2-PL 32W, 1-ELEC</v>
          </cell>
          <cell r="C77" t="str">
            <v>PL</v>
          </cell>
          <cell r="D77">
            <v>2</v>
          </cell>
          <cell r="E77">
            <v>10000</v>
          </cell>
          <cell r="F77">
            <v>5.2</v>
          </cell>
          <cell r="G77">
            <v>4.7851063829787233</v>
          </cell>
          <cell r="H77">
            <v>0.09</v>
          </cell>
          <cell r="I77">
            <v>30000</v>
          </cell>
          <cell r="J77">
            <v>10</v>
          </cell>
          <cell r="K77">
            <v>9.2021276595744688</v>
          </cell>
          <cell r="L77">
            <v>0.33</v>
          </cell>
          <cell r="M77">
            <v>1</v>
          </cell>
        </row>
        <row r="78">
          <cell r="B78" t="str">
            <v>T8 Fluorescent, 2-F32T8 32W, 1-ELEC HLO</v>
          </cell>
          <cell r="C78" t="str">
            <v>F32T8</v>
          </cell>
          <cell r="D78">
            <v>2</v>
          </cell>
          <cell r="E78">
            <v>24000</v>
          </cell>
          <cell r="F78">
            <v>2.5</v>
          </cell>
          <cell r="G78">
            <v>2.3005319148936172</v>
          </cell>
          <cell r="H78">
            <v>0.09</v>
          </cell>
          <cell r="I78">
            <v>60000</v>
          </cell>
          <cell r="J78">
            <v>12</v>
          </cell>
          <cell r="K78">
            <v>11.042553191489361</v>
          </cell>
          <cell r="L78">
            <v>0.33</v>
          </cell>
          <cell r="M78">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B3" t="str">
            <v>System ID Tag</v>
          </cell>
        </row>
      </sheetData>
      <sheetData sheetId="20"/>
      <sheetData sheetId="21"/>
      <sheetData sheetId="22"/>
      <sheetData sheetId="23"/>
      <sheetData sheetId="24"/>
      <sheetData sheetId="25"/>
      <sheetData sheetId="26"/>
      <sheetData sheetId="27"/>
      <sheetData sheetId="2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mesa" refreshedDate="41142.657355555559" createdVersion="3" refreshedVersion="3" minRefreshableVersion="3" recordCount="51">
  <cacheSource type="worksheet">
    <worksheetSource ref="A2:O53" sheet="Billing History"/>
  </cacheSource>
  <cacheFields count="15">
    <cacheField name="SP ID" numFmtId="0">
      <sharedItems containsBlank="1"/>
    </cacheField>
    <cacheField name="From Date" numFmtId="0">
      <sharedItems containsBlank="1"/>
    </cacheField>
    <cacheField name="To Date" numFmtId="0">
      <sharedItems containsBlank="1"/>
    </cacheField>
    <cacheField name="Days" numFmtId="0">
      <sharedItems containsString="0" containsBlank="1" containsNumber="1" containsInteger="1" minValue="27" maxValue="183"/>
    </cacheField>
    <cacheField name="KWH Used" numFmtId="0">
      <sharedItems containsString="0" containsBlank="1" containsNumber="1" containsInteger="1" minValue="0" maxValue="45280"/>
    </cacheField>
    <cacheField name="Actual KW" numFmtId="0">
      <sharedItems containsString="0" containsBlank="1" containsNumber="1" minValue="0" maxValue="161.87"/>
    </cacheField>
    <cacheField name="Billed KW" numFmtId="0">
      <sharedItems containsString="0" containsBlank="1" containsNumber="1" minValue="0" maxValue="161.80000000000001"/>
    </cacheField>
    <cacheField name="Power Factor" numFmtId="0">
      <sharedItems containsBlank="1"/>
    </cacheField>
    <cacheField name="Billed Amount" numFmtId="0">
      <sharedItems containsString="0" containsBlank="1" containsNumber="1" minValue="0" maxValue="1043.3800000000001"/>
    </cacheField>
    <cacheField name="Average Temp" numFmtId="0">
      <sharedItems containsString="0" containsBlank="1" containsNumber="1" minValue="35.1" maxValue="77.2"/>
    </cacheField>
    <cacheField name="WP Sqft" numFmtId="0">
      <sharedItems containsString="0" containsBlank="1" containsNumber="1" containsInteger="1" minValue="0" maxValue="0"/>
    </cacheField>
    <cacheField name="Sq Ft" numFmtId="0">
      <sharedItems containsString="0" containsBlank="1" containsNumber="1" containsInteger="1" minValue="0" maxValue="0"/>
    </cacheField>
    <cacheField name="Average Power" numFmtId="2">
      <sharedItems containsMixedTypes="1" containsNumber="1" minValue="0" maxValue="56.551724137931039"/>
    </cacheField>
    <cacheField name="Month" numFmtId="0">
      <sharedItems containsMixedTypes="1" containsNumber="1" containsInteger="1" minValue="4" maxValue="10" count="8">
        <n v="4"/>
        <n v="5"/>
        <n v="6"/>
        <n v="7"/>
        <n v="8"/>
        <n v="9"/>
        <n v="10"/>
        <s v=""/>
      </sharedItems>
    </cacheField>
    <cacheField name="Year" numFmtId="0">
      <sharedItems containsMixedTypes="1" containsNumber="1" containsInteger="1" minValue="2004" maxValue="2016" count="14">
        <n v="2007"/>
        <n v="2008"/>
        <n v="2009"/>
        <n v="2010"/>
        <n v="2011"/>
        <n v="2012"/>
        <s v=""/>
        <n v="2015" u="1"/>
        <n v="2013" u="1"/>
        <n v="2006" u="1"/>
        <n v="2004" u="1"/>
        <n v="2016" u="1"/>
        <n v="2014" u="1"/>
        <n v="2005" u="1"/>
      </sharedItems>
    </cacheField>
  </cacheFields>
</pivotCacheDefinition>
</file>

<file path=xl/pivotCache/pivotCacheRecords1.xml><?xml version="1.0" encoding="utf-8"?>
<pivotCacheRecords xmlns="http://schemas.openxmlformats.org/spreadsheetml/2006/main" xmlns:r="http://schemas.openxmlformats.org/officeDocument/2006/relationships" count="51">
  <r>
    <s v="6142200001"/>
    <s v="2006-11-01"/>
    <s v="2007-04-27"/>
    <n v="178"/>
    <n v="18400"/>
    <n v="85.22"/>
    <n v="85.22"/>
    <s v=""/>
    <n v="564.88"/>
    <n v="36.5"/>
    <n v="0"/>
    <n v="0"/>
    <n v="4.3071161048689133"/>
    <x v="0"/>
    <x v="0"/>
  </r>
  <r>
    <s v="6142200001"/>
    <s v="2007-04-28"/>
    <s v="2007-05-25"/>
    <n v="28"/>
    <n v="32840"/>
    <n v="79.86"/>
    <n v="79.86"/>
    <s v=""/>
    <n v="728.03"/>
    <n v="59.2"/>
    <n v="0"/>
    <n v="0"/>
    <n v="48.86904761904762"/>
    <x v="1"/>
    <x v="0"/>
  </r>
  <r>
    <s v="6142200001"/>
    <s v="2007-05-26"/>
    <s v="2007-06-26"/>
    <n v="32"/>
    <n v="40080"/>
    <n v="79.319999999999993"/>
    <n v="79.319999999999993"/>
    <s v=""/>
    <n v="823.14"/>
    <n v="65.8"/>
    <n v="0"/>
    <n v="0"/>
    <n v="52.1875"/>
    <x v="2"/>
    <x v="0"/>
  </r>
  <r>
    <s v="6142200001"/>
    <s v="2007-06-27"/>
    <s v="2007-07-25"/>
    <n v="29"/>
    <n v="37800"/>
    <n v="83.61"/>
    <n v="83.61"/>
    <s v=""/>
    <n v="808.88"/>
    <n v="77.2"/>
    <n v="0"/>
    <n v="0"/>
    <n v="54.310344827586214"/>
    <x v="3"/>
    <x v="0"/>
  </r>
  <r>
    <s v="6142200001"/>
    <s v="2007-07-26"/>
    <s v="2007-08-27"/>
    <n v="33"/>
    <n v="42320"/>
    <n v="82.54"/>
    <n v="82.54"/>
    <s v=""/>
    <n v="867"/>
    <n v="73"/>
    <n v="0"/>
    <n v="0"/>
    <n v="53.43434343434344"/>
    <x v="4"/>
    <x v="0"/>
  </r>
  <r>
    <s v="6142200001"/>
    <s v="2007-08-28"/>
    <s v="2007-09-27"/>
    <n v="31"/>
    <n v="39640"/>
    <n v="80.400000000000006"/>
    <n v="80.400000000000006"/>
    <s v=""/>
    <n v="820.5"/>
    <n v="67.099999999999994"/>
    <n v="0"/>
    <n v="0"/>
    <n v="53.27956989247312"/>
    <x v="5"/>
    <x v="0"/>
  </r>
  <r>
    <s v="6142200001"/>
    <s v="2007-09-28"/>
    <s v="2007-10-29"/>
    <n v="32"/>
    <n v="20800"/>
    <n v="83.61"/>
    <n v="83.61"/>
    <s v=""/>
    <n v="282.88"/>
    <n v="50.1"/>
    <n v="0"/>
    <n v="0"/>
    <n v="27.083333333333332"/>
    <x v="6"/>
    <x v="0"/>
  </r>
  <r>
    <s v="6142200001"/>
    <s v="2007-10-30"/>
    <s v="2008-04-23"/>
    <n v="177"/>
    <n v="9200"/>
    <n v="86.83"/>
    <n v="86.83"/>
    <s v=""/>
    <n v="291.33"/>
    <n v="35.1"/>
    <n v="0"/>
    <n v="0"/>
    <n v="2.1657250470809792"/>
    <x v="0"/>
    <x v="1"/>
  </r>
  <r>
    <s v="6142200001"/>
    <s v="2008-04-24"/>
    <s v="2008-05-23"/>
    <n v="30"/>
    <n v="35640"/>
    <n v="78.790000000000006"/>
    <n v="78.790000000000006"/>
    <s v=""/>
    <n v="801.78"/>
    <n v="58.2"/>
    <n v="0"/>
    <n v="0"/>
    <n v="49.5"/>
    <x v="1"/>
    <x v="1"/>
  </r>
  <r>
    <s v="6142200001"/>
    <s v="2008-05-24"/>
    <s v="2008-06-24"/>
    <n v="32"/>
    <n v="38640"/>
    <n v="77.180000000000007"/>
    <n v="77.180000000000007"/>
    <s v=""/>
    <n v="837.64"/>
    <n v="63.7"/>
    <n v="0"/>
    <n v="0"/>
    <n v="50.3125"/>
    <x v="2"/>
    <x v="1"/>
  </r>
  <r>
    <s v="6142200001"/>
    <s v="2008-06-25"/>
    <s v="2008-07-28"/>
    <n v="34"/>
    <n v="44480"/>
    <n v="85.22"/>
    <n v="85.22"/>
    <s v=""/>
    <n v="949.31"/>
    <n v="75.7"/>
    <n v="0"/>
    <n v="0"/>
    <n v="54.509803921568626"/>
    <x v="3"/>
    <x v="1"/>
  </r>
  <r>
    <s v="6142200001"/>
    <s v="2008-07-29"/>
    <s v="2008-08-25"/>
    <n v="28"/>
    <n v="36280"/>
    <n v="84.15"/>
    <n v="84.15"/>
    <s v=""/>
    <n v="828.53"/>
    <n v="73.3"/>
    <n v="0"/>
    <n v="0"/>
    <n v="53.988095238095241"/>
    <x v="4"/>
    <x v="1"/>
  </r>
  <r>
    <s v="6142200001"/>
    <s v="2008-08-26"/>
    <s v="2008-09-25"/>
    <n v="31"/>
    <n v="39040"/>
    <n v="82"/>
    <n v="82"/>
    <s v=""/>
    <n v="860.96"/>
    <n v="65.2"/>
    <n v="0"/>
    <n v="0"/>
    <n v="52.473118279569889"/>
    <x v="5"/>
    <x v="1"/>
  </r>
  <r>
    <s v="6142200001"/>
    <s v="2008-09-26"/>
    <s v="2008-10-24"/>
    <n v="29"/>
    <n v="23960"/>
    <n v="78.25"/>
    <n v="78.25"/>
    <s v=""/>
    <n v="342.63"/>
    <n v="53.1"/>
    <n v="0"/>
    <n v="0"/>
    <n v="34.425287356321839"/>
    <x v="6"/>
    <x v="1"/>
  </r>
  <r>
    <s v="6142200001"/>
    <s v="2008-10-25"/>
    <s v="2009-04-24"/>
    <n v="182"/>
    <n v="4480"/>
    <n v="82.54"/>
    <n v="82.54"/>
    <s v=""/>
    <n v="144.26"/>
    <n v="35.299999999999997"/>
    <n v="0"/>
    <n v="0"/>
    <n v="1.0256410256410258"/>
    <x v="0"/>
    <x v="2"/>
  </r>
  <r>
    <s v="6142200001"/>
    <s v="2009-04-24"/>
    <s v="2009-05-22"/>
    <n v="28"/>
    <n v="31880"/>
    <n v="81.47"/>
    <n v="81.47"/>
    <s v=""/>
    <n v="808.44"/>
    <n v="54.1"/>
    <n v="0"/>
    <n v="0"/>
    <n v="47.440476190476197"/>
    <x v="1"/>
    <x v="2"/>
  </r>
  <r>
    <s v="6142200001"/>
    <s v="2009-05-23"/>
    <s v="2009-06-24"/>
    <n v="33"/>
    <n v="42160"/>
    <n v="84.15"/>
    <n v="84.15"/>
    <s v=""/>
    <n v="994.76"/>
    <n v="69.400000000000006"/>
    <n v="0"/>
    <n v="0"/>
    <n v="53.232323232323232"/>
    <x v="2"/>
    <x v="2"/>
  </r>
  <r>
    <s v="6142200001"/>
    <s v="2009-06-25"/>
    <s v="2009-07-28"/>
    <n v="34"/>
    <n v="45280"/>
    <n v="84.15"/>
    <n v="84.15"/>
    <s v=""/>
    <n v="1043.3800000000001"/>
    <n v="75.5"/>
    <n v="0"/>
    <n v="0"/>
    <n v="55.490196078431374"/>
    <x v="3"/>
    <x v="2"/>
  </r>
  <r>
    <s v="6142200001"/>
    <s v="2009-07-29"/>
    <s v="2009-08-24"/>
    <n v="27"/>
    <n v="35840"/>
    <n v="83.08"/>
    <n v="83.08"/>
    <s v=""/>
    <n v="892.4"/>
    <n v="76.7"/>
    <n v="0"/>
    <n v="0"/>
    <n v="55.308641975308639"/>
    <x v="4"/>
    <x v="2"/>
  </r>
  <r>
    <s v="6142200001"/>
    <s v="2009-08-25"/>
    <s v="2009-09-23"/>
    <n v="30"/>
    <n v="36840"/>
    <n v="84.15"/>
    <n v="84.15"/>
    <s v=""/>
    <n v="911.83"/>
    <n v="69.7"/>
    <n v="0"/>
    <n v="0"/>
    <n v="51.166666666666664"/>
    <x v="5"/>
    <x v="2"/>
  </r>
  <r>
    <s v="6142200001"/>
    <s v="2009-09-24"/>
    <s v="2009-10-26"/>
    <n v="33"/>
    <n v="26240"/>
    <n v="82.54"/>
    <n v="82.54"/>
    <s v=""/>
    <n v="409"/>
    <n v="52"/>
    <n v="0"/>
    <n v="0"/>
    <n v="33.131313131313128"/>
    <x v="6"/>
    <x v="2"/>
  </r>
  <r>
    <s v="6142200001"/>
    <s v="2009-10-27"/>
    <s v="2010-04-23"/>
    <n v="179"/>
    <n v="10000"/>
    <n v="84.15"/>
    <n v="84.15"/>
    <s v=""/>
    <n v="350.98"/>
    <n v="38"/>
    <n v="0"/>
    <n v="0"/>
    <n v="2.3277467411545625"/>
    <x v="0"/>
    <x v="3"/>
  </r>
  <r>
    <s v="6142200001"/>
    <s v="2010-04-24"/>
    <s v="2010-05-25"/>
    <n v="32"/>
    <n v="38440"/>
    <n v="80.400000000000006"/>
    <n v="80.400000000000006"/>
    <s v=""/>
    <n v="921.42"/>
    <n v="54.3"/>
    <n v="0"/>
    <n v="0"/>
    <n v="50.052083333333336"/>
    <x v="1"/>
    <x v="3"/>
  </r>
  <r>
    <s v="6142200001"/>
    <s v="2010-05-26"/>
    <s v="2010-06-24"/>
    <n v="30"/>
    <n v="37200"/>
    <n v="79.319999999999993"/>
    <n v="79.319999999999993"/>
    <s v=""/>
    <n v="898.26"/>
    <n v="61.2"/>
    <n v="0"/>
    <n v="0"/>
    <n v="51.666666666666664"/>
    <x v="2"/>
    <x v="3"/>
  </r>
  <r>
    <s v="6142200001"/>
    <s v="2010-06-25"/>
    <s v="2010-07-23"/>
    <n v="29"/>
    <n v="38520"/>
    <n v="84.68"/>
    <n v="84.68"/>
    <s v=""/>
    <n v="941.86"/>
    <n v="71.900000000000006"/>
    <n v="0"/>
    <n v="0"/>
    <n v="55.344827586206897"/>
    <x v="3"/>
    <x v="3"/>
  </r>
  <r>
    <s v="6142200001"/>
    <s v="2010-07-24"/>
    <s v="2010-08-25"/>
    <n v="33"/>
    <n v="42120"/>
    <n v="84.15"/>
    <n v="84.15"/>
    <s v=""/>
    <n v="994.13"/>
    <n v="75.3"/>
    <n v="0"/>
    <n v="0"/>
    <n v="53.18181818181818"/>
    <x v="4"/>
    <x v="3"/>
  </r>
  <r>
    <s v="6142200001"/>
    <s v="2010-08-26"/>
    <s v="2010-09-27"/>
    <n v="33"/>
    <n v="41200"/>
    <n v="83.61"/>
    <n v="83.61"/>
    <s v=""/>
    <n v="979.79"/>
    <n v="62.6"/>
    <n v="0"/>
    <n v="0"/>
    <n v="52.020202020202021"/>
    <x v="5"/>
    <x v="3"/>
  </r>
  <r>
    <s v="6142200001"/>
    <s v="2010-09-28"/>
    <s v="2010-10-26"/>
    <n v="29"/>
    <n v="16840"/>
    <n v="75.040000000000006"/>
    <n v="75.040000000000006"/>
    <s v=""/>
    <n v="262.48"/>
    <n v="54.8"/>
    <n v="0"/>
    <n v="0"/>
    <n v="24.195402298850578"/>
    <x v="6"/>
    <x v="3"/>
  </r>
  <r>
    <s v="6142200001"/>
    <s v="2010-10-27"/>
    <s v="2011-04-22"/>
    <n v="178"/>
    <n v="4440"/>
    <n v="86.29"/>
    <n v="86.29"/>
    <s v=""/>
    <n v="158.01"/>
    <n v="35.200000000000003"/>
    <n v="0"/>
    <n v="0"/>
    <n v="1.0393258426966292"/>
    <x v="0"/>
    <x v="4"/>
  </r>
  <r>
    <s v="6142200001"/>
    <s v="2011-04-23"/>
    <s v="2011-05-24"/>
    <n v="32"/>
    <n v="36360"/>
    <n v="81.47"/>
    <n v="81.47"/>
    <s v=""/>
    <n v="892.84"/>
    <n v="52.3"/>
    <n v="0"/>
    <n v="0"/>
    <n v="47.34375"/>
    <x v="1"/>
    <x v="4"/>
  </r>
  <r>
    <s v="6142200001"/>
    <s v="2011-05-25"/>
    <s v="2011-06-23"/>
    <n v="30"/>
    <n v="33080"/>
    <n v="78.25"/>
    <n v="78.25"/>
    <s v=""/>
    <n v="830.2"/>
    <n v="61.2"/>
    <n v="0"/>
    <n v="0"/>
    <n v="45.94444444444445"/>
    <x v="2"/>
    <x v="4"/>
  </r>
  <r>
    <s v="6142200001"/>
    <s v="2011-06-24"/>
    <s v="2011-07-27"/>
    <n v="34"/>
    <n v="40680"/>
    <n v="82"/>
    <n v="82"/>
    <s v=""/>
    <n v="964.01"/>
    <n v="68.099999999999994"/>
    <n v="0"/>
    <n v="0"/>
    <n v="49.852941176470587"/>
    <x v="3"/>
    <x v="4"/>
  </r>
  <r>
    <s v="6142200001"/>
    <s v="2011-07-28"/>
    <s v="2011-08-24"/>
    <n v="28"/>
    <n v="34160"/>
    <n v="83.61"/>
    <n v="83.61"/>
    <s v=""/>
    <n v="870.06"/>
    <n v="74.3"/>
    <n v="0"/>
    <n v="0"/>
    <n v="50.833333333333336"/>
    <x v="4"/>
    <x v="4"/>
  </r>
  <r>
    <s v="6142200001"/>
    <s v="2011-08-25"/>
    <s v="2011-09-23"/>
    <n v="30"/>
    <n v="34960"/>
    <n v="80.400000000000006"/>
    <n v="80.400000000000006"/>
    <s v=""/>
    <n v="867.18"/>
    <n v="71.400000000000006"/>
    <n v="0"/>
    <n v="0"/>
    <n v="48.55555555555555"/>
    <x v="5"/>
    <x v="4"/>
  </r>
  <r>
    <s v="6142200001"/>
    <s v="2011-09-24"/>
    <s v="2011-10-24"/>
    <n v="31"/>
    <n v="24080"/>
    <n v="72.89"/>
    <n v="72.89"/>
    <s v=""/>
    <n v="375.33"/>
    <n v="55.6"/>
    <n v="0"/>
    <n v="0"/>
    <n v="32.365591397849464"/>
    <x v="6"/>
    <x v="4"/>
  </r>
  <r>
    <s v="6142200001"/>
    <s v="2011-10-25"/>
    <s v="2012-04-24"/>
    <n v="183"/>
    <n v="0"/>
    <n v="0"/>
    <n v="0"/>
    <s v=""/>
    <n v="0"/>
    <n v="36.200000000000003"/>
    <n v="0"/>
    <n v="0"/>
    <n v="0"/>
    <x v="0"/>
    <x v="5"/>
  </r>
  <r>
    <s v="6142200001"/>
    <s v="2012-04-25"/>
    <s v="2012-05-23"/>
    <n v="29"/>
    <n v="39360"/>
    <n v="84.68"/>
    <n v="84.68"/>
    <s v=""/>
    <n v="963.14"/>
    <n v="57.1"/>
    <n v="0"/>
    <n v="0"/>
    <n v="56.551724137931039"/>
    <x v="1"/>
    <x v="5"/>
  </r>
  <r>
    <s v="6142200001"/>
    <s v="2012-05-24"/>
    <s v="2012-06-22"/>
    <n v="30"/>
    <n v="33280"/>
    <n v="83.08"/>
    <n v="83.08"/>
    <s v=""/>
    <n v="855.78"/>
    <n v="62.5"/>
    <n v="0"/>
    <n v="0"/>
    <n v="46.222222222222221"/>
    <x v="2"/>
    <x v="5"/>
  </r>
  <r>
    <s v="6142200001"/>
    <s v="2012-06-23"/>
    <s v="2012-07-24"/>
    <n v="32"/>
    <n v="19560"/>
    <n v="161.87"/>
    <n v="161.80000000000001"/>
    <s v=""/>
    <n v="907.48"/>
    <n v="73.5"/>
    <n v="0"/>
    <n v="0"/>
    <n v="25.46875"/>
    <x v="3"/>
    <x v="5"/>
  </r>
  <r>
    <m/>
    <m/>
    <m/>
    <m/>
    <m/>
    <m/>
    <m/>
    <m/>
    <m/>
    <m/>
    <m/>
    <m/>
    <s v=""/>
    <x v="7"/>
    <x v="6"/>
  </r>
  <r>
    <m/>
    <m/>
    <m/>
    <m/>
    <m/>
    <m/>
    <m/>
    <m/>
    <m/>
    <m/>
    <m/>
    <m/>
    <s v=""/>
    <x v="7"/>
    <x v="6"/>
  </r>
  <r>
    <m/>
    <m/>
    <m/>
    <m/>
    <m/>
    <m/>
    <m/>
    <m/>
    <m/>
    <m/>
    <m/>
    <m/>
    <s v=""/>
    <x v="7"/>
    <x v="6"/>
  </r>
  <r>
    <m/>
    <m/>
    <m/>
    <m/>
    <m/>
    <m/>
    <m/>
    <m/>
    <m/>
    <m/>
    <m/>
    <m/>
    <s v=""/>
    <x v="7"/>
    <x v="6"/>
  </r>
  <r>
    <m/>
    <m/>
    <m/>
    <m/>
    <m/>
    <m/>
    <m/>
    <m/>
    <m/>
    <m/>
    <m/>
    <m/>
    <s v=""/>
    <x v="7"/>
    <x v="6"/>
  </r>
  <r>
    <m/>
    <m/>
    <m/>
    <m/>
    <m/>
    <m/>
    <m/>
    <m/>
    <m/>
    <m/>
    <m/>
    <m/>
    <s v=""/>
    <x v="7"/>
    <x v="6"/>
  </r>
  <r>
    <m/>
    <m/>
    <m/>
    <m/>
    <m/>
    <m/>
    <m/>
    <m/>
    <m/>
    <m/>
    <m/>
    <m/>
    <s v=""/>
    <x v="7"/>
    <x v="6"/>
  </r>
  <r>
    <m/>
    <m/>
    <m/>
    <m/>
    <m/>
    <m/>
    <m/>
    <m/>
    <m/>
    <m/>
    <m/>
    <m/>
    <s v=""/>
    <x v="7"/>
    <x v="6"/>
  </r>
  <r>
    <m/>
    <m/>
    <m/>
    <m/>
    <m/>
    <m/>
    <m/>
    <m/>
    <m/>
    <m/>
    <m/>
    <m/>
    <s v=""/>
    <x v="7"/>
    <x v="6"/>
  </r>
  <r>
    <m/>
    <m/>
    <m/>
    <m/>
    <m/>
    <m/>
    <m/>
    <m/>
    <m/>
    <m/>
    <m/>
    <m/>
    <s v=""/>
    <x v="7"/>
    <x v="6"/>
  </r>
  <r>
    <m/>
    <m/>
    <m/>
    <m/>
    <m/>
    <m/>
    <m/>
    <m/>
    <m/>
    <m/>
    <m/>
    <m/>
    <s v=""/>
    <x v="7"/>
    <x v="6"/>
  </r>
  <r>
    <m/>
    <m/>
    <m/>
    <m/>
    <m/>
    <m/>
    <m/>
    <m/>
    <m/>
    <m/>
    <m/>
    <m/>
    <s v=""/>
    <x v="7"/>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Wh Used Table" cacheId="0" applyNumberFormats="0" applyBorderFormats="0" applyFontFormats="0" applyPatternFormats="0" applyAlignmentFormats="0" applyWidthHeightFormats="1" dataCaption="Values" updatedVersion="3" minRefreshableVersion="3" showCalcMbrs="0" useAutoFormatting="1" colGrandTotals="0" itemPrintTitles="1" createdVersion="3" indent="0" outline="1" outlineData="1" multipleFieldFilters="0">
  <location ref="A27:H37" firstHeaderRow="1" firstDataRow="2" firstDataCol="1"/>
  <pivotFields count="15">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items count="9">
        <item x="0"/>
        <item x="1"/>
        <item x="2"/>
        <item x="3"/>
        <item x="4"/>
        <item x="5"/>
        <item x="6"/>
        <item x="7"/>
        <item t="default"/>
      </items>
    </pivotField>
    <pivotField axis="axisCol" showAll="0">
      <items count="15">
        <item m="1" x="10"/>
        <item m="1" x="13"/>
        <item m="1" x="9"/>
        <item x="0"/>
        <item x="1"/>
        <item x="2"/>
        <item x="3"/>
        <item x="4"/>
        <item x="5"/>
        <item m="1" x="8"/>
        <item m="1" x="12"/>
        <item m="1" x="7"/>
        <item m="1" x="11"/>
        <item x="6"/>
        <item t="default"/>
      </items>
    </pivotField>
  </pivotFields>
  <rowFields count="1">
    <field x="13"/>
  </rowFields>
  <rowItems count="9">
    <i>
      <x/>
    </i>
    <i>
      <x v="1"/>
    </i>
    <i>
      <x v="2"/>
    </i>
    <i>
      <x v="3"/>
    </i>
    <i>
      <x v="4"/>
    </i>
    <i>
      <x v="5"/>
    </i>
    <i>
      <x v="6"/>
    </i>
    <i>
      <x v="7"/>
    </i>
    <i t="grand">
      <x/>
    </i>
  </rowItems>
  <colFields count="1">
    <field x="14"/>
  </colFields>
  <colItems count="7">
    <i>
      <x v="3"/>
    </i>
    <i>
      <x v="4"/>
    </i>
    <i>
      <x v="5"/>
    </i>
    <i>
      <x v="6"/>
    </i>
    <i>
      <x v="7"/>
    </i>
    <i>
      <x v="8"/>
    </i>
    <i>
      <x v="13"/>
    </i>
  </colItems>
  <dataFields count="1">
    <dataField name="Sum of KWH Used" fld="4" baseField="0" baseItem="0"/>
  </dataFields>
  <formats count="3">
    <format dxfId="5">
      <pivotArea collapsedLevelsAreSubtotals="1" fieldPosition="0">
        <references count="2">
          <reference field="13" count="1">
            <x v="0"/>
          </reference>
          <reference field="14" count="1" selected="0">
            <x v="1"/>
          </reference>
        </references>
      </pivotArea>
    </format>
    <format dxfId="4">
      <pivotArea type="all" dataOnly="0" outline="0" fieldPosition="0"/>
    </format>
    <format dxfId="3">
      <pivotArea type="all" dataOnly="0" outline="0"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Average Power Table" cacheId="0" applyNumberFormats="0" applyBorderFormats="0" applyFontFormats="0" applyPatternFormats="0" applyAlignmentFormats="0" applyWidthHeightFormats="1" dataCaption="Values" updatedVersion="3" minRefreshableVersion="3" showCalcMbrs="0" useAutoFormatting="1" colGrandTotals="0" itemPrintTitles="1" createdVersion="3" indent="0" outline="1" outlineData="1" multipleFieldFilters="0">
  <location ref="A3:H13" firstHeaderRow="1" firstDataRow="2" firstDataCol="1"/>
  <pivotFields count="15">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Row" showAll="0">
      <items count="9">
        <item x="0"/>
        <item x="1"/>
        <item x="2"/>
        <item x="3"/>
        <item x="4"/>
        <item x="5"/>
        <item x="6"/>
        <item x="7"/>
        <item t="default"/>
      </items>
    </pivotField>
    <pivotField axis="axisCol" showAll="0">
      <items count="15">
        <item m="1" x="10"/>
        <item m="1" x="13"/>
        <item m="1" x="9"/>
        <item x="0"/>
        <item x="1"/>
        <item x="2"/>
        <item x="3"/>
        <item x="4"/>
        <item x="5"/>
        <item m="1" x="8"/>
        <item m="1" x="12"/>
        <item m="1" x="7"/>
        <item m="1" x="11"/>
        <item x="6"/>
        <item t="default"/>
      </items>
    </pivotField>
  </pivotFields>
  <rowFields count="1">
    <field x="13"/>
  </rowFields>
  <rowItems count="9">
    <i>
      <x/>
    </i>
    <i>
      <x v="1"/>
    </i>
    <i>
      <x v="2"/>
    </i>
    <i>
      <x v="3"/>
    </i>
    <i>
      <x v="4"/>
    </i>
    <i>
      <x v="5"/>
    </i>
    <i>
      <x v="6"/>
    </i>
    <i>
      <x v="7"/>
    </i>
    <i t="grand">
      <x/>
    </i>
  </rowItems>
  <colFields count="1">
    <field x="14"/>
  </colFields>
  <colItems count="7">
    <i>
      <x v="3"/>
    </i>
    <i>
      <x v="4"/>
    </i>
    <i>
      <x v="5"/>
    </i>
    <i>
      <x v="6"/>
    </i>
    <i>
      <x v="7"/>
    </i>
    <i>
      <x v="8"/>
    </i>
    <i>
      <x v="13"/>
    </i>
  </colItems>
  <dataFields count="1">
    <dataField name="Sum of Average Power" fld="12" baseField="0" baseItem="0"/>
  </dataFields>
  <formats count="9">
    <format dxfId="14">
      <pivotArea collapsedLevelsAreSubtotals="1" fieldPosition="0">
        <references count="2">
          <reference field="13" count="1">
            <x v="0"/>
          </reference>
          <reference field="14" count="1" selected="0">
            <x v="1"/>
          </reference>
        </references>
      </pivotArea>
    </format>
    <format dxfId="13">
      <pivotArea collapsedLevelsAreSubtotals="1" fieldPosition="0">
        <references count="2">
          <reference field="13" count="1">
            <x v="0"/>
          </reference>
          <reference field="14" count="5" selected="0">
            <x v="2"/>
            <x v="3"/>
            <x v="4"/>
            <x v="5"/>
            <x v="6"/>
          </reference>
        </references>
      </pivotArea>
    </format>
    <format dxfId="12">
      <pivotArea collapsedLevelsAreSubtotals="1" fieldPosition="0">
        <references count="2">
          <reference field="13" count="6">
            <x v="1"/>
            <x v="2"/>
            <x v="3"/>
            <x v="4"/>
            <x v="5"/>
            <x v="6"/>
          </reference>
          <reference field="14" count="7" selected="0">
            <x v="1"/>
            <x v="2"/>
            <x v="3"/>
            <x v="4"/>
            <x v="5"/>
            <x v="6"/>
            <x v="7"/>
          </reference>
        </references>
      </pivotArea>
    </format>
    <format dxfId="11">
      <pivotArea collapsedLevelsAreSubtotals="1" fieldPosition="0">
        <references count="2">
          <reference field="13" count="5">
            <x v="2"/>
            <x v="3"/>
            <x v="4"/>
            <x v="5"/>
            <x v="6"/>
          </reference>
          <reference field="14" count="1" selected="0">
            <x v="0"/>
          </reference>
        </references>
      </pivotArea>
    </format>
    <format dxfId="10">
      <pivotArea collapsedLevelsAreSubtotals="1" fieldPosition="0">
        <references count="2">
          <reference field="13" count="1">
            <x v="0"/>
          </reference>
          <reference field="14" count="2" selected="0">
            <x v="7"/>
            <x v="8"/>
          </reference>
        </references>
      </pivotArea>
    </format>
    <format dxfId="9">
      <pivotArea collapsedLevelsAreSubtotals="1" fieldPosition="0">
        <references count="2">
          <reference field="13" count="2">
            <x v="0"/>
            <x v="1"/>
          </reference>
          <reference field="14" count="1" selected="0">
            <x v="0"/>
          </reference>
        </references>
      </pivotArea>
    </format>
    <format dxfId="8">
      <pivotArea field="14" grandRow="1" outline="0" collapsedLevelsAreSubtotals="1" axis="axisCol" fieldPosition="0">
        <references count="1">
          <reference field="14" count="8" selected="0">
            <x v="0"/>
            <x v="1"/>
            <x v="2"/>
            <x v="3"/>
            <x v="4"/>
            <x v="5"/>
            <x v="6"/>
            <x v="7"/>
          </reference>
        </references>
      </pivotArea>
    </format>
    <format dxfId="7">
      <pivotArea type="all" dataOnly="0" outline="0" fieldPosition="0"/>
    </format>
    <format dxfId="6">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1:I57"/>
  <sheetViews>
    <sheetView workbookViewId="0">
      <selection activeCell="E24" sqref="E24"/>
    </sheetView>
  </sheetViews>
  <sheetFormatPr defaultRowHeight="15.75"/>
  <cols>
    <col min="1" max="3" width="9" style="87"/>
    <col min="4" max="4" width="11.375" style="87" customWidth="1"/>
    <col min="5" max="5" width="40" style="87" customWidth="1"/>
    <col min="6" max="6" width="12.125" style="91" customWidth="1"/>
    <col min="7" max="9" width="9" style="91"/>
    <col min="10" max="16384" width="9" style="87"/>
  </cols>
  <sheetData>
    <row r="1" spans="1:9">
      <c r="D1" s="100" t="s">
        <v>0</v>
      </c>
      <c r="E1" s="122"/>
    </row>
    <row r="2" spans="1:9">
      <c r="A2" s="84"/>
      <c r="B2" s="84"/>
      <c r="C2" s="84"/>
      <c r="D2" s="85" t="s">
        <v>1</v>
      </c>
      <c r="E2" s="120"/>
      <c r="F2" s="126" t="s">
        <v>335</v>
      </c>
      <c r="G2" s="89"/>
      <c r="H2" s="89"/>
      <c r="I2" s="89"/>
    </row>
    <row r="3" spans="1:9">
      <c r="A3" s="84"/>
      <c r="B3" s="84"/>
      <c r="C3" s="84"/>
      <c r="D3" s="85" t="s">
        <v>2</v>
      </c>
      <c r="E3" s="121"/>
      <c r="F3" s="89"/>
      <c r="G3" s="89"/>
      <c r="H3" s="89"/>
      <c r="I3" s="89"/>
    </row>
    <row r="4" spans="1:9">
      <c r="A4" s="83"/>
      <c r="D4" s="85" t="s">
        <v>3</v>
      </c>
      <c r="E4" s="88" t="str">
        <f>LSYield!T13</f>
        <v>Sch. 5, Irrigation</v>
      </c>
      <c r="F4" s="90"/>
    </row>
    <row r="5" spans="1:9">
      <c r="A5" s="84"/>
      <c r="B5" s="84"/>
      <c r="C5" s="84"/>
      <c r="D5" s="95" t="s">
        <v>5</v>
      </c>
      <c r="E5" s="86"/>
      <c r="F5" s="89"/>
      <c r="G5" s="89"/>
      <c r="H5" s="89"/>
      <c r="I5" s="89"/>
    </row>
    <row r="6" spans="1:9">
      <c r="A6" s="84"/>
      <c r="B6" s="84"/>
      <c r="C6" s="84"/>
      <c r="D6" s="95" t="s">
        <v>6</v>
      </c>
      <c r="E6" s="86"/>
      <c r="F6" s="89"/>
      <c r="G6" s="89"/>
      <c r="H6" s="89"/>
      <c r="I6" s="89"/>
    </row>
    <row r="7" spans="1:9">
      <c r="A7" s="83"/>
      <c r="B7" s="83"/>
      <c r="C7" s="83"/>
      <c r="D7" s="85" t="s">
        <v>7</v>
      </c>
      <c r="E7" s="121"/>
      <c r="F7" s="90"/>
      <c r="G7" s="87"/>
      <c r="H7" s="90"/>
      <c r="I7" s="90"/>
    </row>
    <row r="8" spans="1:9">
      <c r="A8" s="83"/>
      <c r="B8" s="83"/>
      <c r="C8" s="83"/>
      <c r="D8" s="85" t="s">
        <v>8</v>
      </c>
      <c r="E8" s="121"/>
      <c r="F8" s="90"/>
      <c r="G8" s="87"/>
      <c r="H8" s="90"/>
    </row>
    <row r="9" spans="1:9">
      <c r="A9" s="83"/>
      <c r="B9" s="83"/>
      <c r="C9" s="83"/>
      <c r="D9" s="85" t="s">
        <v>9</v>
      </c>
      <c r="E9" s="121"/>
      <c r="F9" s="90"/>
      <c r="G9" s="90"/>
      <c r="H9" s="90"/>
      <c r="I9" s="90"/>
    </row>
    <row r="10" spans="1:9">
      <c r="A10" s="83"/>
      <c r="B10" s="83"/>
      <c r="C10" s="83"/>
      <c r="D10" s="85" t="s">
        <v>10</v>
      </c>
      <c r="E10" s="128"/>
      <c r="F10" s="90"/>
      <c r="G10" s="90"/>
      <c r="H10" s="90"/>
    </row>
    <row r="11" spans="1:9">
      <c r="A11" s="84"/>
      <c r="B11" s="84"/>
      <c r="C11" s="83"/>
      <c r="D11" s="85" t="s">
        <v>11</v>
      </c>
      <c r="E11" s="127"/>
    </row>
    <row r="12" spans="1:9">
      <c r="A12" s="83"/>
      <c r="D12" s="85" t="s">
        <v>12</v>
      </c>
      <c r="E12" s="129"/>
      <c r="F12" s="90"/>
    </row>
    <row r="13" spans="1:9">
      <c r="A13" s="83"/>
      <c r="B13" s="83"/>
      <c r="C13" s="83"/>
      <c r="D13" s="85" t="s">
        <v>13</v>
      </c>
      <c r="E13" s="127"/>
    </row>
    <row r="14" spans="1:9">
      <c r="F14" s="90"/>
      <c r="G14" s="90"/>
      <c r="H14" s="90"/>
    </row>
    <row r="15" spans="1:9">
      <c r="D15" s="92" t="s">
        <v>14</v>
      </c>
    </row>
    <row r="16" spans="1:9">
      <c r="A16" s="83"/>
      <c r="B16" s="83"/>
      <c r="C16" s="83"/>
      <c r="D16" s="85" t="s">
        <v>15</v>
      </c>
      <c r="E16" s="97">
        <f>E3</f>
        <v>0</v>
      </c>
      <c r="G16" s="90"/>
      <c r="H16" s="90"/>
    </row>
    <row r="17" spans="1:8">
      <c r="A17" s="83"/>
      <c r="B17" s="83"/>
      <c r="C17" s="83"/>
      <c r="D17" s="85" t="s">
        <v>16</v>
      </c>
      <c r="E17" s="127"/>
      <c r="H17" s="328"/>
    </row>
    <row r="18" spans="1:8">
      <c r="A18" s="83"/>
      <c r="B18" s="83"/>
      <c r="D18" s="85" t="s">
        <v>17</v>
      </c>
      <c r="E18" s="127"/>
    </row>
    <row r="20" spans="1:8">
      <c r="D20" s="131" t="s">
        <v>338</v>
      </c>
      <c r="E20" s="98">
        <f>IF('VFD Application'!W25="",'VFD Application'!W24,'VFD Application'!W25)</f>
        <v>0</v>
      </c>
    </row>
    <row r="21" spans="1:8">
      <c r="C21" s="100"/>
    </row>
    <row r="22" spans="1:8">
      <c r="D22" s="100" t="s">
        <v>18</v>
      </c>
      <c r="E22" s="122">
        <f>LSYield!Y13</f>
        <v>261756</v>
      </c>
    </row>
    <row r="23" spans="1:8">
      <c r="D23" s="100" t="s">
        <v>19</v>
      </c>
      <c r="E23" s="122">
        <f>LSYield!Z13</f>
        <v>556000</v>
      </c>
    </row>
    <row r="24" spans="1:8" s="105" customFormat="1">
      <c r="A24" s="104"/>
      <c r="B24" s="104"/>
      <c r="D24" s="100" t="s">
        <v>20</v>
      </c>
      <c r="E24" s="130"/>
      <c r="F24" s="132"/>
      <c r="G24" s="133"/>
    </row>
    <row r="25" spans="1:8">
      <c r="D25" s="100" t="s">
        <v>21</v>
      </c>
      <c r="E25" s="122"/>
    </row>
    <row r="26" spans="1:8">
      <c r="D26" s="100" t="s">
        <v>22</v>
      </c>
      <c r="E26" s="122"/>
    </row>
    <row r="28" spans="1:8">
      <c r="D28" s="100" t="s">
        <v>0</v>
      </c>
      <c r="E28" s="122"/>
    </row>
    <row r="29" spans="1:8">
      <c r="C29" s="85" t="s">
        <v>23</v>
      </c>
      <c r="D29" s="102">
        <v>0</v>
      </c>
      <c r="E29" s="99" t="s">
        <v>634</v>
      </c>
    </row>
    <row r="30" spans="1:8">
      <c r="C30" s="131" t="s">
        <v>339</v>
      </c>
      <c r="D30" s="102">
        <f>'Pivot Tables'!T29</f>
        <v>0</v>
      </c>
      <c r="E30" s="99" t="s">
        <v>24</v>
      </c>
    </row>
    <row r="31" spans="1:8">
      <c r="C31" s="85"/>
      <c r="D31" s="103"/>
    </row>
    <row r="32" spans="1:8">
      <c r="B32" s="106"/>
      <c r="C32" s="107" t="s">
        <v>25</v>
      </c>
      <c r="D32" s="108">
        <v>0</v>
      </c>
      <c r="E32" s="106"/>
    </row>
    <row r="33" spans="2:5">
      <c r="C33" s="85" t="s">
        <v>26</v>
      </c>
      <c r="D33" s="102">
        <f>D30-D30*D32</f>
        <v>0</v>
      </c>
      <c r="E33" s="99" t="s">
        <v>24</v>
      </c>
    </row>
    <row r="34" spans="2:5">
      <c r="C34" s="85" t="s">
        <v>27</v>
      </c>
      <c r="D34" s="102">
        <f>D33</f>
        <v>0</v>
      </c>
      <c r="E34" s="99" t="s">
        <v>24</v>
      </c>
    </row>
    <row r="35" spans="2:5">
      <c r="B35" s="106"/>
      <c r="C35" s="109" t="s">
        <v>28</v>
      </c>
      <c r="D35" s="110">
        <v>0.15</v>
      </c>
      <c r="E35" s="106" t="str">
        <f>"$/kWh/year"</f>
        <v>$/kWh/year</v>
      </c>
    </row>
    <row r="36" spans="2:5">
      <c r="C36" s="100" t="s">
        <v>29</v>
      </c>
      <c r="D36" s="101" t="e">
        <f>'VFD Application'!N28</f>
        <v>#DIV/0!</v>
      </c>
    </row>
    <row r="37" spans="2:5">
      <c r="C37" s="100" t="s">
        <v>30</v>
      </c>
      <c r="D37" s="101" t="e">
        <f>'VFD Application'!N28</f>
        <v>#DIV/0!</v>
      </c>
    </row>
    <row r="38" spans="2:5">
      <c r="C38" s="100"/>
    </row>
    <row r="39" spans="2:5">
      <c r="D39" s="119" t="s">
        <v>31</v>
      </c>
    </row>
    <row r="40" spans="2:5">
      <c r="D40" s="100" t="s">
        <v>32</v>
      </c>
      <c r="E40" s="122" t="str">
        <f>LSYield!X13</f>
        <v>Agricultural</v>
      </c>
    </row>
    <row r="41" spans="2:5">
      <c r="D41" s="95" t="s">
        <v>33</v>
      </c>
      <c r="E41" s="122"/>
    </row>
    <row r="42" spans="2:5">
      <c r="D42" s="95" t="s">
        <v>34</v>
      </c>
      <c r="E42" s="122"/>
    </row>
    <row r="43" spans="2:5">
      <c r="D43" s="95" t="s">
        <v>35</v>
      </c>
      <c r="E43" s="122" t="str">
        <f>LSYield!D38</f>
        <v>Exterior 24 Hour Operation</v>
      </c>
    </row>
    <row r="44" spans="2:5">
      <c r="D44" s="95" t="s">
        <v>36</v>
      </c>
      <c r="E44" s="122" t="s">
        <v>37</v>
      </c>
    </row>
    <row r="45" spans="2:5">
      <c r="D45" s="95" t="s">
        <v>38</v>
      </c>
      <c r="E45" s="122" t="s">
        <v>39</v>
      </c>
    </row>
    <row r="46" spans="2:5">
      <c r="D46" s="95" t="s">
        <v>40</v>
      </c>
      <c r="E46" s="122" t="s">
        <v>41</v>
      </c>
    </row>
    <row r="47" spans="2:5">
      <c r="D47" s="95" t="s">
        <v>42</v>
      </c>
      <c r="E47" s="122">
        <v>15</v>
      </c>
    </row>
    <row r="48" spans="2:5">
      <c r="D48" s="95" t="s">
        <v>43</v>
      </c>
      <c r="E48" s="122"/>
    </row>
    <row r="49" spans="4:5">
      <c r="D49" s="95" t="s">
        <v>44</v>
      </c>
      <c r="E49" s="123">
        <f>D33</f>
        <v>0</v>
      </c>
    </row>
    <row r="50" spans="4:5">
      <c r="D50" s="95" t="s">
        <v>45</v>
      </c>
      <c r="E50" s="438" t="str">
        <f>IF('VFD Calculations'!D82=0,"",'VFD Calculations'!D82)</f>
        <v/>
      </c>
    </row>
    <row r="51" spans="4:5">
      <c r="D51" s="95" t="s">
        <v>46</v>
      </c>
      <c r="E51" s="122" t="s">
        <v>47</v>
      </c>
    </row>
    <row r="52" spans="4:5">
      <c r="D52" s="95" t="s">
        <v>48</v>
      </c>
      <c r="E52" s="122" t="s">
        <v>49</v>
      </c>
    </row>
    <row r="53" spans="4:5">
      <c r="D53" s="95" t="s">
        <v>50</v>
      </c>
      <c r="E53" s="122" t="s">
        <v>51</v>
      </c>
    </row>
    <row r="54" spans="4:5">
      <c r="D54" s="95" t="s">
        <v>52</v>
      </c>
      <c r="E54" s="122">
        <f>LSYield!Y13</f>
        <v>261756</v>
      </c>
    </row>
    <row r="55" spans="4:5">
      <c r="D55" s="95" t="s">
        <v>53</v>
      </c>
      <c r="E55" s="122">
        <f>LSYield!Z13</f>
        <v>556000</v>
      </c>
    </row>
    <row r="56" spans="4:5">
      <c r="D56" s="95" t="s">
        <v>54</v>
      </c>
      <c r="E56" s="124">
        <f ca="1">NOW()</f>
        <v>41158.565952083336</v>
      </c>
    </row>
    <row r="57" spans="4:5">
      <c r="D57" s="95" t="s">
        <v>333</v>
      </c>
      <c r="E57" s="125">
        <v>0</v>
      </c>
    </row>
  </sheetData>
  <pageMargins left="0.7" right="0.7" top="0.75" bottom="0.75" header="0.3" footer="0.3"/>
  <pageSetup orientation="portrait" r:id="rId1"/>
  <headerFooter alignWithMargins="0">
    <oddHeader>&amp;C&amp;"Arial,Bold"Summary Sheet of Input and Results&amp;RVersion 5/18/10</oddHeader>
  </headerFooter>
  <legacyDrawing r:id="rId2"/>
</worksheet>
</file>

<file path=xl/worksheets/sheet2.xml><?xml version="1.0" encoding="utf-8"?>
<worksheet xmlns="http://schemas.openxmlformats.org/spreadsheetml/2006/main" xmlns:r="http://schemas.openxmlformats.org/officeDocument/2006/relationships">
  <sheetPr codeName="Sheet3"/>
  <dimension ref="A1:I7"/>
  <sheetViews>
    <sheetView workbookViewId="0">
      <selection sqref="A1:C1"/>
    </sheetView>
  </sheetViews>
  <sheetFormatPr defaultRowHeight="15.75"/>
  <cols>
    <col min="1" max="1" width="20.5" customWidth="1"/>
    <col min="2" max="2" width="11.75" customWidth="1"/>
    <col min="6" max="6" width="9.875" style="73" customWidth="1"/>
    <col min="7" max="9" width="9.5" style="73" customWidth="1"/>
    <col min="14" max="14" width="21.25" customWidth="1"/>
  </cols>
  <sheetData>
    <row r="1" spans="1:9" s="71" customFormat="1">
      <c r="A1" s="112" t="s">
        <v>74</v>
      </c>
      <c r="B1" s="112"/>
      <c r="C1" s="112"/>
      <c r="H1" s="72"/>
      <c r="I1" s="72"/>
    </row>
    <row r="2" spans="1:9" s="2" customFormat="1">
      <c r="A2" s="71" t="s">
        <v>75</v>
      </c>
      <c r="B2" s="111" t="e">
        <f>#REF!</f>
        <v>#REF!</v>
      </c>
      <c r="C2" s="111"/>
      <c r="D2" s="111"/>
      <c r="H2" s="76"/>
      <c r="I2" s="76"/>
    </row>
    <row r="3" spans="1:9">
      <c r="A3" s="71" t="s">
        <v>76</v>
      </c>
      <c r="B3" s="77" t="e">
        <f>#REF!</f>
        <v>#REF!</v>
      </c>
    </row>
    <row r="4" spans="1:9">
      <c r="A4" s="71" t="s">
        <v>77</v>
      </c>
      <c r="B4" s="75" t="e">
        <f>#REF!</f>
        <v>#REF!</v>
      </c>
    </row>
    <row r="5" spans="1:9">
      <c r="A5" s="71" t="s">
        <v>78</v>
      </c>
      <c r="B5" s="78" t="e">
        <f>#REF!</f>
        <v>#REF!</v>
      </c>
      <c r="C5" t="s">
        <v>79</v>
      </c>
    </row>
    <row r="6" spans="1:9">
      <c r="A6" s="71" t="s">
        <v>80</v>
      </c>
      <c r="B6" s="74" t="e">
        <f>#REF!</f>
        <v>#REF!</v>
      </c>
    </row>
    <row r="7" spans="1:9">
      <c r="A7" s="72" t="s">
        <v>81</v>
      </c>
      <c r="B7" s="75" t="e">
        <f>#REF!</f>
        <v>#REF!</v>
      </c>
    </row>
  </sheetData>
  <sheetProtection password="C4BA" sheet="1" objects="1" scenarios="1"/>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sheetPr codeName="Sheet5"/>
  <dimension ref="B5:J34"/>
  <sheetViews>
    <sheetView workbookViewId="0">
      <selection activeCell="C14" sqref="C14"/>
    </sheetView>
  </sheetViews>
  <sheetFormatPr defaultColWidth="8" defaultRowHeight="12.75"/>
  <cols>
    <col min="1" max="1" width="8" style="3"/>
    <col min="2" max="2" width="35.25" style="3" customWidth="1"/>
    <col min="3" max="3" width="9.625" style="3" customWidth="1"/>
    <col min="4" max="4" width="8.875" style="3" customWidth="1"/>
    <col min="5" max="5" width="8" style="3"/>
    <col min="6" max="6" width="28.375" style="3" customWidth="1"/>
    <col min="7" max="7" width="8.75" style="3" customWidth="1"/>
    <col min="8" max="8" width="13.75" style="3" customWidth="1"/>
    <col min="9" max="9" width="8" style="3"/>
    <col min="10" max="10" width="41.875" style="3" customWidth="1"/>
    <col min="11" max="16384" width="8" style="3"/>
  </cols>
  <sheetData>
    <row r="5" spans="2:10" ht="13.5" thickBot="1"/>
    <row r="6" spans="2:10" ht="37.9" customHeight="1" thickBot="1">
      <c r="B6" s="6" t="s">
        <v>82</v>
      </c>
      <c r="C6" s="7" t="s">
        <v>83</v>
      </c>
      <c r="D6" s="8" t="s">
        <v>84</v>
      </c>
      <c r="F6" s="6" t="s">
        <v>85</v>
      </c>
      <c r="G6" s="113"/>
      <c r="J6" s="9" t="s">
        <v>86</v>
      </c>
    </row>
    <row r="7" spans="2:10">
      <c r="B7" s="10" t="s">
        <v>87</v>
      </c>
      <c r="C7" s="11" t="e">
        <f>IF(Project_Cost&gt;0,Project_Cost,0)</f>
        <v>#REF!</v>
      </c>
      <c r="D7" s="12" t="e">
        <f>(IF(Project_Cost&lt;0,Project_Cost,0))*-1</f>
        <v>#REF!</v>
      </c>
      <c r="F7" s="13" t="s">
        <v>88</v>
      </c>
      <c r="G7" s="14" t="e">
        <f>#REF!</f>
        <v>#REF!</v>
      </c>
      <c r="J7" s="15" t="s">
        <v>89</v>
      </c>
    </row>
    <row r="8" spans="2:10">
      <c r="B8" s="55" t="s">
        <v>90</v>
      </c>
      <c r="C8" s="16" t="e">
        <f>IF(PV_Other_OM&gt;0,PV_Other_OM,0)</f>
        <v>#REF!</v>
      </c>
      <c r="D8" s="17" t="e">
        <f>(IF(PV_Other_OM&lt;0,PV_Other_OM,0))*-1</f>
        <v>#REF!</v>
      </c>
      <c r="F8" s="13" t="s">
        <v>91</v>
      </c>
      <c r="G8" s="18" t="e">
        <f>#REF!</f>
        <v>#REF!</v>
      </c>
      <c r="J8" s="19" t="s">
        <v>92</v>
      </c>
    </row>
    <row r="9" spans="2:10" ht="13.5" thickBot="1">
      <c r="B9" s="55" t="s">
        <v>93</v>
      </c>
      <c r="C9" s="16" t="e">
        <f>IF(PV_Gas_OM&gt;0,PV_Gas_OM,0)</f>
        <v>#REF!</v>
      </c>
      <c r="D9" s="17" t="e">
        <f>(IF(PV_Gas_OM&lt;0,PV_Gas_OM,0))*-1</f>
        <v>#REF!</v>
      </c>
      <c r="F9" s="55" t="s">
        <v>94</v>
      </c>
      <c r="G9" s="20" t="e">
        <f>OandM</f>
        <v>#REF!</v>
      </c>
      <c r="J9" s="19"/>
    </row>
    <row r="10" spans="2:10" ht="13.5" thickBot="1">
      <c r="B10" s="13" t="s">
        <v>95</v>
      </c>
      <c r="C10" s="16" t="e">
        <f>IF(PV_ReLamp_Cost&gt;0,PV_ReLamp_Cost,0)</f>
        <v>#REF!</v>
      </c>
      <c r="D10" s="17" t="e">
        <f>(IF(PV_ReLamp_Cost&lt;0,PV_ReLamp_Cost,0))*-1</f>
        <v>#REF!</v>
      </c>
      <c r="F10" s="55" t="s">
        <v>90</v>
      </c>
      <c r="G10" s="21" t="e">
        <f>OandM*(1-((1/(1+DiscountRate))^MeasureLife))/DiscountRate</f>
        <v>#REF!</v>
      </c>
      <c r="J10" s="19" t="s">
        <v>96</v>
      </c>
    </row>
    <row r="11" spans="2:10">
      <c r="B11" s="13" t="s">
        <v>97</v>
      </c>
      <c r="C11" s="16" t="e">
        <f>IF(PV_Energy_Saved&lt;0,PV_Energy_Saved,0)</f>
        <v>#REF!</v>
      </c>
      <c r="D11" s="17" t="e">
        <f>IF(PV_Energy_Saved&gt;0,PV_Energy_Saved,0)</f>
        <v>#REF!</v>
      </c>
      <c r="J11" s="19" t="s">
        <v>98</v>
      </c>
    </row>
    <row r="12" spans="2:10" ht="13.5" thickBot="1">
      <c r="B12" s="22" t="s">
        <v>99</v>
      </c>
      <c r="C12" s="23" t="e">
        <f>SUM(C7:C11)</f>
        <v>#REF!</v>
      </c>
      <c r="D12" s="24" t="e">
        <f>SUM(D7:D11)</f>
        <v>#REF!</v>
      </c>
      <c r="J12" s="19" t="s">
        <v>100</v>
      </c>
    </row>
    <row r="13" spans="2:10" ht="13.5" thickBot="1">
      <c r="C13" s="25"/>
      <c r="F13" s="26" t="s">
        <v>95</v>
      </c>
      <c r="G13" s="21" t="e">
        <f>#REF!</f>
        <v>#REF!</v>
      </c>
      <c r="H13" s="58" t="s">
        <v>101</v>
      </c>
    </row>
    <row r="14" spans="2:10" ht="13.5" thickBot="1">
      <c r="B14" s="27" t="s">
        <v>102</v>
      </c>
      <c r="C14" s="28" t="e">
        <f>IF(AND(C12&gt;0,D12&gt;0),(D12/C12),"Infinite")</f>
        <v>#REF!</v>
      </c>
    </row>
    <row r="16" spans="2:10">
      <c r="C16" s="57"/>
    </row>
    <row r="17" spans="3:9">
      <c r="C17" s="56"/>
      <c r="D17" s="25"/>
    </row>
    <row r="22" spans="3:9">
      <c r="G22" s="56" t="e">
        <f>PV(DiscountRate,G8,G9)</f>
        <v>#REF!</v>
      </c>
    </row>
    <row r="23" spans="3:9">
      <c r="G23" s="59" t="e">
        <f t="shared" ref="G23:G34" si="0">-$G$9</f>
        <v>#REF!</v>
      </c>
      <c r="H23" s="29" t="e">
        <f t="shared" ref="H23:H34" si="1">G23/(1+DiscountRate)^(I23)</f>
        <v>#REF!</v>
      </c>
      <c r="I23" s="3">
        <v>1</v>
      </c>
    </row>
    <row r="24" spans="3:9">
      <c r="G24" s="59" t="e">
        <f t="shared" si="0"/>
        <v>#REF!</v>
      </c>
      <c r="H24" s="29" t="e">
        <f t="shared" si="1"/>
        <v>#REF!</v>
      </c>
      <c r="I24" s="3">
        <v>2</v>
      </c>
    </row>
    <row r="25" spans="3:9">
      <c r="G25" s="59" t="e">
        <f t="shared" si="0"/>
        <v>#REF!</v>
      </c>
      <c r="H25" s="29" t="e">
        <f t="shared" si="1"/>
        <v>#REF!</v>
      </c>
      <c r="I25" s="3">
        <v>3</v>
      </c>
    </row>
    <row r="26" spans="3:9">
      <c r="G26" s="59" t="e">
        <f t="shared" si="0"/>
        <v>#REF!</v>
      </c>
      <c r="H26" s="29" t="e">
        <f t="shared" si="1"/>
        <v>#REF!</v>
      </c>
      <c r="I26" s="3">
        <v>4</v>
      </c>
    </row>
    <row r="27" spans="3:9">
      <c r="G27" s="59" t="e">
        <f t="shared" si="0"/>
        <v>#REF!</v>
      </c>
      <c r="H27" s="29" t="e">
        <f t="shared" si="1"/>
        <v>#REF!</v>
      </c>
      <c r="I27" s="3">
        <v>5</v>
      </c>
    </row>
    <row r="28" spans="3:9">
      <c r="G28" s="59" t="e">
        <f t="shared" si="0"/>
        <v>#REF!</v>
      </c>
      <c r="H28" s="29" t="e">
        <f t="shared" si="1"/>
        <v>#REF!</v>
      </c>
      <c r="I28" s="3">
        <v>6</v>
      </c>
    </row>
    <row r="29" spans="3:9">
      <c r="G29" s="59" t="e">
        <f t="shared" si="0"/>
        <v>#REF!</v>
      </c>
      <c r="H29" s="29" t="e">
        <f t="shared" si="1"/>
        <v>#REF!</v>
      </c>
      <c r="I29" s="3">
        <v>7</v>
      </c>
    </row>
    <row r="30" spans="3:9">
      <c r="G30" s="59" t="e">
        <f t="shared" si="0"/>
        <v>#REF!</v>
      </c>
      <c r="H30" s="29" t="e">
        <f t="shared" si="1"/>
        <v>#REF!</v>
      </c>
      <c r="I30" s="3">
        <v>8</v>
      </c>
    </row>
    <row r="31" spans="3:9">
      <c r="G31" s="59" t="e">
        <f t="shared" si="0"/>
        <v>#REF!</v>
      </c>
      <c r="H31" s="29" t="e">
        <f t="shared" si="1"/>
        <v>#REF!</v>
      </c>
      <c r="I31" s="3">
        <v>9</v>
      </c>
    </row>
    <row r="32" spans="3:9">
      <c r="G32" s="59" t="e">
        <f t="shared" si="0"/>
        <v>#REF!</v>
      </c>
      <c r="H32" s="29" t="e">
        <f t="shared" si="1"/>
        <v>#REF!</v>
      </c>
      <c r="I32" s="3">
        <v>10</v>
      </c>
    </row>
    <row r="33" spans="7:9">
      <c r="G33" s="59" t="e">
        <f t="shared" si="0"/>
        <v>#REF!</v>
      </c>
      <c r="H33" s="29" t="e">
        <f t="shared" si="1"/>
        <v>#REF!</v>
      </c>
      <c r="I33" s="3">
        <v>11</v>
      </c>
    </row>
    <row r="34" spans="7:9">
      <c r="G34" s="59" t="e">
        <f t="shared" si="0"/>
        <v>#REF!</v>
      </c>
      <c r="H34" s="29" t="e">
        <f t="shared" si="1"/>
        <v>#REF!</v>
      </c>
      <c r="I34" s="3">
        <v>12</v>
      </c>
    </row>
  </sheetData>
  <sheetProtection sheet="1" objects="1"/>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AE52"/>
  <sheetViews>
    <sheetView tabSelected="1" zoomScaleNormal="100" workbookViewId="0">
      <selection activeCell="A3" sqref="A3:K3"/>
    </sheetView>
  </sheetViews>
  <sheetFormatPr defaultRowHeight="15"/>
  <cols>
    <col min="1" max="11" width="4.625" style="80" customWidth="1"/>
    <col min="12" max="12" width="5.125" style="80" customWidth="1"/>
    <col min="13" max="13" width="6.125" style="80" customWidth="1"/>
    <col min="14" max="14" width="10.625" style="80" customWidth="1"/>
    <col min="15" max="15" width="9.625" style="80" customWidth="1"/>
    <col min="16" max="19" width="9" style="80" customWidth="1"/>
    <col min="20" max="20" width="9" style="80"/>
    <col min="21" max="21" width="12.5" style="80" customWidth="1"/>
    <col min="22" max="27" width="9" style="80" customWidth="1"/>
    <col min="28" max="30" width="9" style="80"/>
    <col min="31" max="31" width="21.625" style="80" customWidth="1"/>
    <col min="32" max="16384" width="9" style="80"/>
  </cols>
  <sheetData>
    <row r="1" spans="1:31" ht="16.5" customHeight="1" thickBot="1">
      <c r="A1" s="482" t="s">
        <v>768</v>
      </c>
      <c r="B1" s="482"/>
      <c r="C1" s="482"/>
      <c r="D1" s="482"/>
      <c r="E1" s="482"/>
      <c r="F1" s="482"/>
      <c r="G1" s="482"/>
      <c r="H1" s="482"/>
      <c r="I1" s="482"/>
      <c r="J1" s="482"/>
      <c r="K1" s="482"/>
      <c r="L1" s="482"/>
      <c r="M1" s="482"/>
      <c r="N1" s="482"/>
      <c r="O1" s="482"/>
      <c r="Q1" s="469" t="s">
        <v>692</v>
      </c>
      <c r="R1" s="469"/>
      <c r="S1" s="469"/>
      <c r="T1" s="469"/>
      <c r="U1" s="469"/>
      <c r="V1" s="469"/>
      <c r="W1" s="469"/>
      <c r="X1" s="292"/>
      <c r="Y1" s="292"/>
      <c r="Z1" s="220"/>
      <c r="AA1" s="220"/>
      <c r="AB1" s="220"/>
      <c r="AC1" s="220"/>
      <c r="AD1" s="220"/>
    </row>
    <row r="2" spans="1:31" ht="12.75" customHeight="1">
      <c r="A2" s="174" t="s">
        <v>55</v>
      </c>
      <c r="B2" s="175"/>
      <c r="C2" s="175"/>
      <c r="D2" s="483"/>
      <c r="E2" s="483"/>
      <c r="F2" s="483"/>
      <c r="G2" s="483"/>
      <c r="H2" s="483"/>
      <c r="I2" s="483"/>
      <c r="J2" s="483"/>
      <c r="K2" s="484"/>
      <c r="L2" s="175" t="s">
        <v>12</v>
      </c>
      <c r="M2" s="175"/>
      <c r="N2" s="175" t="s">
        <v>3</v>
      </c>
      <c r="O2" s="176"/>
      <c r="P2" s="164"/>
      <c r="Q2" s="242" t="s">
        <v>687</v>
      </c>
      <c r="R2" s="243"/>
      <c r="S2" s="243"/>
      <c r="T2" s="243"/>
      <c r="U2" s="243"/>
      <c r="V2" s="243"/>
      <c r="W2" s="244"/>
      <c r="X2" s="246"/>
      <c r="Y2" s="246"/>
      <c r="Z2" s="220"/>
      <c r="AA2" s="220"/>
      <c r="AB2" s="220" t="s">
        <v>103</v>
      </c>
      <c r="AC2" s="223" t="s">
        <v>694</v>
      </c>
      <c r="AD2" s="220"/>
    </row>
    <row r="3" spans="1:31" ht="12.75" customHeight="1">
      <c r="A3" s="464" t="str">
        <f>IF(CustMeas!E2="","Enter information on Input Sheet",CustMeas!E2)</f>
        <v>Enter information on Input Sheet</v>
      </c>
      <c r="B3" s="440"/>
      <c r="C3" s="440"/>
      <c r="D3" s="440"/>
      <c r="E3" s="440"/>
      <c r="F3" s="440"/>
      <c r="G3" s="440"/>
      <c r="H3" s="440"/>
      <c r="I3" s="440"/>
      <c r="J3" s="440"/>
      <c r="K3" s="465"/>
      <c r="L3" s="489" t="str">
        <f>IF(CustMeas!E12="","Enter information on Input Sheet",CustMeas!E12)</f>
        <v>Enter information on Input Sheet</v>
      </c>
      <c r="M3" s="490"/>
      <c r="N3" s="439" t="str">
        <f>LSYield!T13</f>
        <v>Sch. 5, Irrigation</v>
      </c>
      <c r="O3" s="441"/>
      <c r="P3" s="164"/>
      <c r="Q3" s="261"/>
      <c r="R3" s="265"/>
      <c r="S3" s="265"/>
      <c r="T3" s="265"/>
      <c r="U3" s="265"/>
      <c r="V3" s="257"/>
      <c r="W3" s="262"/>
      <c r="X3" s="246"/>
      <c r="Y3" s="246"/>
      <c r="Z3" s="220"/>
      <c r="AA3" s="220"/>
      <c r="AB3" s="220">
        <v>1</v>
      </c>
      <c r="AC3" s="220" t="s">
        <v>697</v>
      </c>
      <c r="AD3" s="220"/>
    </row>
    <row r="4" spans="1:31" ht="12.75" customHeight="1">
      <c r="A4" s="485" t="s">
        <v>7</v>
      </c>
      <c r="B4" s="486"/>
      <c r="C4" s="486"/>
      <c r="D4" s="486"/>
      <c r="E4" s="486"/>
      <c r="F4" s="486"/>
      <c r="G4" s="487"/>
      <c r="H4" s="487"/>
      <c r="I4" s="487"/>
      <c r="J4" s="487"/>
      <c r="K4" s="488"/>
      <c r="L4" s="177" t="s">
        <v>8</v>
      </c>
      <c r="M4" s="178"/>
      <c r="N4" s="178"/>
      <c r="O4" s="179"/>
      <c r="P4" s="164"/>
      <c r="Q4" s="245" t="str">
        <f>AC4</f>
        <v>Pressure Reducing Valve (ClaVal)</v>
      </c>
      <c r="R4" s="246"/>
      <c r="S4" s="246"/>
      <c r="T4" s="255"/>
      <c r="U4" s="254" t="str">
        <f>AC5</f>
        <v>Bypass Valve - Automatic</v>
      </c>
      <c r="V4" s="246"/>
      <c r="W4" s="247"/>
      <c r="X4" s="246"/>
      <c r="Y4" s="246"/>
      <c r="Z4" s="220"/>
      <c r="AA4" s="220"/>
      <c r="AB4" s="220">
        <f>AB3+1</f>
        <v>2</v>
      </c>
      <c r="AC4" s="220" t="s">
        <v>688</v>
      </c>
      <c r="AD4" s="220"/>
    </row>
    <row r="5" spans="1:31" ht="12.75" customHeight="1">
      <c r="A5" s="464" t="str">
        <f>IF(CustMeas!E7="","Enter information on Input Sheet",CustMeas!E7)</f>
        <v>Enter information on Input Sheet</v>
      </c>
      <c r="B5" s="440"/>
      <c r="C5" s="440"/>
      <c r="D5" s="440"/>
      <c r="E5" s="440"/>
      <c r="F5" s="440"/>
      <c r="G5" s="440"/>
      <c r="H5" s="440"/>
      <c r="I5" s="440"/>
      <c r="J5" s="440"/>
      <c r="K5" s="465"/>
      <c r="L5" s="439" t="str">
        <f>IF(CustMeas!E8="","Enter information on Input Sheet",CustMeas!E8)</f>
        <v>Enter information on Input Sheet</v>
      </c>
      <c r="M5" s="440"/>
      <c r="N5" s="440"/>
      <c r="O5" s="441"/>
      <c r="P5" s="164"/>
      <c r="Q5" s="245"/>
      <c r="R5" s="246"/>
      <c r="S5" s="246"/>
      <c r="T5" s="255"/>
      <c r="U5" s="254"/>
      <c r="V5" s="246"/>
      <c r="W5" s="247"/>
      <c r="X5" s="246"/>
      <c r="Y5" s="246"/>
      <c r="Z5" s="220"/>
      <c r="AA5" s="220"/>
      <c r="AB5" s="220">
        <f t="shared" ref="AB5:AB6" si="0">AB4+1</f>
        <v>3</v>
      </c>
      <c r="AC5" s="220" t="s">
        <v>690</v>
      </c>
      <c r="AD5" s="220"/>
    </row>
    <row r="6" spans="1:31" ht="12.75" customHeight="1">
      <c r="A6" s="330" t="s">
        <v>9</v>
      </c>
      <c r="B6" s="331"/>
      <c r="C6" s="331"/>
      <c r="D6" s="240"/>
      <c r="E6" s="240"/>
      <c r="F6" s="240"/>
      <c r="G6" s="460"/>
      <c r="H6" s="460"/>
      <c r="I6" s="460"/>
      <c r="J6" s="460"/>
      <c r="K6" s="460"/>
      <c r="L6" s="177" t="s">
        <v>10</v>
      </c>
      <c r="M6" s="171"/>
      <c r="N6" s="171"/>
      <c r="O6" s="180"/>
      <c r="P6" s="164"/>
      <c r="Q6" s="245"/>
      <c r="R6" s="246"/>
      <c r="S6" s="246"/>
      <c r="T6" s="255"/>
      <c r="U6" s="254"/>
      <c r="V6" s="246"/>
      <c r="W6" s="247"/>
      <c r="X6" s="246"/>
      <c r="Y6" s="246"/>
      <c r="Z6" s="220"/>
      <c r="AA6" s="220"/>
      <c r="AB6" s="220">
        <f t="shared" si="0"/>
        <v>4</v>
      </c>
      <c r="AC6" s="220" t="s">
        <v>689</v>
      </c>
      <c r="AD6" s="220"/>
    </row>
    <row r="7" spans="1:31" ht="12.75" customHeight="1">
      <c r="A7" s="461" t="str">
        <f>IF(CustMeas!E9="","Enter information on Input Sheet",CustMeas!E9)</f>
        <v>Enter information on Input Sheet</v>
      </c>
      <c r="B7" s="462"/>
      <c r="C7" s="462"/>
      <c r="D7" s="462"/>
      <c r="E7" s="462"/>
      <c r="F7" s="462"/>
      <c r="G7" s="462"/>
      <c r="H7" s="462"/>
      <c r="I7" s="462"/>
      <c r="J7" s="462"/>
      <c r="K7" s="463"/>
      <c r="L7" s="462" t="str">
        <f>IF(CustMeas!E10="","Enter information on Input Sheet",CustMeas!E10)</f>
        <v>Enter information on Input Sheet</v>
      </c>
      <c r="M7" s="462"/>
      <c r="N7" s="462"/>
      <c r="O7" s="477"/>
      <c r="P7" s="164"/>
      <c r="Q7" s="261"/>
      <c r="R7" s="257"/>
      <c r="S7" s="257"/>
      <c r="T7" s="258"/>
      <c r="U7" s="256"/>
      <c r="V7" s="257"/>
      <c r="W7" s="262"/>
      <c r="X7" s="246"/>
      <c r="Y7" s="246"/>
      <c r="Z7" s="220"/>
      <c r="AA7" s="220"/>
      <c r="AB7" s="220">
        <v>5</v>
      </c>
      <c r="AC7" s="220" t="s">
        <v>764</v>
      </c>
      <c r="AD7" s="220"/>
    </row>
    <row r="8" spans="1:31" ht="12" customHeight="1">
      <c r="A8" s="454" t="s">
        <v>11</v>
      </c>
      <c r="B8" s="455"/>
      <c r="C8" s="455"/>
      <c r="D8" s="455"/>
      <c r="E8" s="455"/>
      <c r="F8" s="456"/>
      <c r="G8" s="455" t="s">
        <v>56</v>
      </c>
      <c r="H8" s="455"/>
      <c r="I8" s="455"/>
      <c r="J8" s="455"/>
      <c r="K8" s="456"/>
      <c r="L8" s="173" t="s">
        <v>13</v>
      </c>
      <c r="M8" s="333"/>
      <c r="N8" s="333"/>
      <c r="O8" s="180"/>
      <c r="P8" s="164"/>
      <c r="Q8" s="259" t="str">
        <f>AC6</f>
        <v xml:space="preserve">Bypass Valve - Manual Gate or Ball Valve </v>
      </c>
      <c r="R8" s="252"/>
      <c r="S8" s="252"/>
      <c r="T8" s="253"/>
      <c r="U8" s="251" t="str">
        <f>AC8</f>
        <v>None</v>
      </c>
      <c r="V8" s="252"/>
      <c r="W8" s="260"/>
      <c r="X8" s="246"/>
      <c r="Y8" s="246"/>
      <c r="Z8" s="220"/>
      <c r="AA8" s="220"/>
      <c r="AB8" s="220">
        <v>6</v>
      </c>
      <c r="AC8" s="220" t="s">
        <v>691</v>
      </c>
      <c r="AD8" s="220"/>
    </row>
    <row r="9" spans="1:31" ht="12.75" customHeight="1">
      <c r="A9" s="461" t="str">
        <f>IF(CustMeas!E11="","Enter information on Input Sheet",CustMeas!E11)</f>
        <v>Enter information on Input Sheet</v>
      </c>
      <c r="B9" s="462"/>
      <c r="C9" s="462"/>
      <c r="D9" s="462"/>
      <c r="E9" s="462"/>
      <c r="F9" s="463"/>
      <c r="G9" s="462"/>
      <c r="H9" s="462"/>
      <c r="I9" s="462"/>
      <c r="J9" s="462"/>
      <c r="K9" s="463"/>
      <c r="L9" s="462" t="str">
        <f>IF(CustMeas!E13="","Enter information on Input Sheet",CustMeas!E13)</f>
        <v>Enter information on Input Sheet</v>
      </c>
      <c r="M9" s="462"/>
      <c r="N9" s="462"/>
      <c r="O9" s="477"/>
      <c r="P9" s="164"/>
      <c r="Q9" s="245"/>
      <c r="R9" s="246"/>
      <c r="S9" s="246"/>
      <c r="T9" s="255"/>
      <c r="U9" s="254"/>
      <c r="V9" s="246"/>
      <c r="W9" s="247"/>
      <c r="X9" s="246"/>
      <c r="Y9" s="246"/>
      <c r="Z9" s="220"/>
      <c r="AA9" s="220"/>
      <c r="AB9" s="220" t="s">
        <v>103</v>
      </c>
      <c r="AC9" s="223" t="s">
        <v>694</v>
      </c>
      <c r="AD9" s="220"/>
    </row>
    <row r="10" spans="1:31" ht="12.75" customHeight="1">
      <c r="A10" s="454" t="s">
        <v>15</v>
      </c>
      <c r="B10" s="455"/>
      <c r="C10" s="455"/>
      <c r="D10" s="455"/>
      <c r="E10" s="455"/>
      <c r="F10" s="455"/>
      <c r="G10" s="455"/>
      <c r="H10" s="455"/>
      <c r="I10" s="455"/>
      <c r="J10" s="455"/>
      <c r="K10" s="455"/>
      <c r="L10" s="171"/>
      <c r="M10" s="171"/>
      <c r="N10" s="171"/>
      <c r="O10" s="180"/>
      <c r="P10" s="164"/>
      <c r="Q10" s="245"/>
      <c r="R10" s="246"/>
      <c r="S10" s="246"/>
      <c r="T10" s="255"/>
      <c r="U10" s="254"/>
      <c r="V10" s="246"/>
      <c r="W10" s="247"/>
      <c r="X10" s="246"/>
      <c r="Y10" s="246"/>
      <c r="Z10" s="220"/>
      <c r="AA10" s="220"/>
      <c r="AB10" s="220">
        <v>2</v>
      </c>
      <c r="AC10" s="80" t="str">
        <f>DGET(AB2:AC8,AC2,AB9:AB10)</f>
        <v>Pressure Reducing Valve (ClaVal)</v>
      </c>
      <c r="AD10" s="220"/>
    </row>
    <row r="11" spans="1:31" ht="12.75" customHeight="1">
      <c r="A11" s="461">
        <f>IF(CustMeas!E16="","Enter information on Input Sheet",CustMeas!E16)</f>
        <v>0</v>
      </c>
      <c r="B11" s="462"/>
      <c r="C11" s="462"/>
      <c r="D11" s="462"/>
      <c r="E11" s="462"/>
      <c r="F11" s="462"/>
      <c r="G11" s="462"/>
      <c r="H11" s="462"/>
      <c r="I11" s="462"/>
      <c r="J11" s="462"/>
      <c r="K11" s="462"/>
      <c r="L11" s="462"/>
      <c r="M11" s="462"/>
      <c r="N11" s="462"/>
      <c r="O11" s="477"/>
      <c r="P11" s="164"/>
      <c r="Q11" s="261"/>
      <c r="R11" s="320"/>
      <c r="S11" s="320"/>
      <c r="T11" s="321"/>
      <c r="U11" s="320"/>
      <c r="V11" s="320"/>
      <c r="W11" s="262"/>
      <c r="X11" s="246"/>
      <c r="Y11" s="246"/>
      <c r="Z11" s="220"/>
      <c r="AA11" s="220"/>
      <c r="AB11" s="220"/>
      <c r="AC11" s="220"/>
      <c r="AD11" s="220"/>
      <c r="AE11" s="160"/>
    </row>
    <row r="12" spans="1:31" ht="12.75" customHeight="1">
      <c r="A12" s="454" t="s">
        <v>16</v>
      </c>
      <c r="B12" s="455"/>
      <c r="C12" s="455"/>
      <c r="D12" s="455"/>
      <c r="E12" s="455"/>
      <c r="F12" s="455"/>
      <c r="G12" s="455"/>
      <c r="H12" s="456"/>
      <c r="I12" s="455" t="s">
        <v>8</v>
      </c>
      <c r="J12" s="455"/>
      <c r="K12" s="455"/>
      <c r="L12" s="455"/>
      <c r="M12" s="455"/>
      <c r="N12" s="455"/>
      <c r="O12" s="478"/>
      <c r="P12" s="164"/>
      <c r="Q12" s="245" t="s">
        <v>764</v>
      </c>
      <c r="R12" s="322"/>
      <c r="W12" s="247"/>
      <c r="X12" s="246"/>
      <c r="Y12" s="246"/>
      <c r="Z12" s="220"/>
      <c r="AA12" s="220"/>
      <c r="AB12" s="220"/>
      <c r="AC12" s="220"/>
      <c r="AD12" s="220"/>
      <c r="AE12" s="160"/>
    </row>
    <row r="13" spans="1:31" ht="12.75" customHeight="1" thickBot="1">
      <c r="A13" s="457" t="str">
        <f>IF(CustMeas!E17="","Enter information on Input Sheet",CustMeas!E17)</f>
        <v>Enter information on Input Sheet</v>
      </c>
      <c r="B13" s="458"/>
      <c r="C13" s="458"/>
      <c r="D13" s="458"/>
      <c r="E13" s="458"/>
      <c r="F13" s="458"/>
      <c r="G13" s="458"/>
      <c r="H13" s="459"/>
      <c r="I13" s="458" t="str">
        <f>IF(CustMeas!E18="","Enter information on Input Sheet",CustMeas!E18)</f>
        <v>Enter information on Input Sheet</v>
      </c>
      <c r="J13" s="458"/>
      <c r="K13" s="458"/>
      <c r="L13" s="458"/>
      <c r="M13" s="458"/>
      <c r="N13" s="458"/>
      <c r="O13" s="479"/>
      <c r="P13" s="163"/>
      <c r="Q13" s="245"/>
      <c r="R13" s="255"/>
      <c r="S13" s="246"/>
      <c r="T13" s="246"/>
      <c r="U13" s="223"/>
      <c r="V13" s="220"/>
      <c r="W13" s="247"/>
      <c r="X13" s="246"/>
      <c r="Y13" s="246"/>
      <c r="Z13" s="220"/>
      <c r="AA13" s="220"/>
      <c r="AB13" s="220" t="s">
        <v>103</v>
      </c>
      <c r="AC13" s="223" t="s">
        <v>699</v>
      </c>
      <c r="AD13" s="220"/>
    </row>
    <row r="14" spans="1:31" ht="14.25" customHeight="1" thickBot="1">
      <c r="A14" s="474" t="s">
        <v>726</v>
      </c>
      <c r="B14" s="475"/>
      <c r="C14" s="475"/>
      <c r="D14" s="475"/>
      <c r="E14" s="475"/>
      <c r="F14" s="475"/>
      <c r="G14" s="475"/>
      <c r="H14" s="475"/>
      <c r="I14" s="475"/>
      <c r="J14" s="475"/>
      <c r="K14" s="475"/>
      <c r="L14" s="475"/>
      <c r="M14" s="475"/>
      <c r="N14" s="475"/>
      <c r="O14" s="476"/>
      <c r="Q14" s="245"/>
      <c r="R14" s="323"/>
      <c r="W14" s="247"/>
      <c r="X14" s="220"/>
      <c r="Y14" s="246"/>
      <c r="Z14" s="220"/>
      <c r="AA14" s="220"/>
      <c r="AB14" s="220">
        <v>1</v>
      </c>
      <c r="AC14" s="220" t="s">
        <v>700</v>
      </c>
      <c r="AD14" s="220"/>
    </row>
    <row r="15" spans="1:31" ht="15" customHeight="1">
      <c r="A15" s="480" t="s">
        <v>617</v>
      </c>
      <c r="B15" s="481"/>
      <c r="C15" s="481"/>
      <c r="D15" s="481"/>
      <c r="E15" s="481"/>
      <c r="F15" s="481"/>
      <c r="G15" s="468"/>
      <c r="H15" s="468"/>
      <c r="I15" s="468"/>
      <c r="J15" s="468"/>
      <c r="K15" s="544" t="s">
        <v>705</v>
      </c>
      <c r="L15" s="544"/>
      <c r="M15" s="544"/>
      <c r="N15" s="470">
        <v>41019</v>
      </c>
      <c r="O15" s="471"/>
      <c r="Q15" s="245"/>
      <c r="R15" s="323"/>
      <c r="W15" s="247"/>
      <c r="X15" s="264"/>
      <c r="Y15" s="246"/>
      <c r="Z15" s="220"/>
      <c r="AA15" s="220"/>
      <c r="AB15" s="220">
        <f>AB14+1</f>
        <v>2</v>
      </c>
      <c r="AC15" s="220" t="s">
        <v>704</v>
      </c>
      <c r="AD15" s="220"/>
    </row>
    <row r="16" spans="1:31" ht="15" customHeight="1" thickBot="1">
      <c r="A16" s="449" t="s">
        <v>618</v>
      </c>
      <c r="B16" s="450"/>
      <c r="C16" s="450"/>
      <c r="D16" s="450"/>
      <c r="E16" s="450"/>
      <c r="F16" s="450"/>
      <c r="G16" s="543"/>
      <c r="H16" s="543"/>
      <c r="I16" s="543"/>
      <c r="J16" s="543"/>
      <c r="K16" s="452" t="s">
        <v>706</v>
      </c>
      <c r="L16" s="452"/>
      <c r="M16" s="452"/>
      <c r="N16" s="472">
        <v>41197</v>
      </c>
      <c r="O16" s="473"/>
      <c r="P16" s="165"/>
      <c r="Q16" s="248"/>
      <c r="R16" s="263"/>
      <c r="S16" s="249"/>
      <c r="T16" s="249"/>
      <c r="U16" s="249"/>
      <c r="V16" s="249"/>
      <c r="W16" s="250"/>
      <c r="X16" s="264"/>
      <c r="Y16" s="246"/>
      <c r="Z16" s="220"/>
      <c r="AA16" s="220"/>
      <c r="AB16" s="220">
        <f>AB15+1</f>
        <v>3</v>
      </c>
      <c r="AC16" s="220" t="s">
        <v>695</v>
      </c>
      <c r="AD16" s="220"/>
    </row>
    <row r="17" spans="1:31" ht="15" customHeight="1" thickBot="1">
      <c r="A17" s="449" t="s">
        <v>719</v>
      </c>
      <c r="B17" s="450"/>
      <c r="C17" s="450"/>
      <c r="D17" s="450"/>
      <c r="E17" s="450"/>
      <c r="F17" s="450"/>
      <c r="G17" s="543"/>
      <c r="H17" s="543"/>
      <c r="I17" s="543"/>
      <c r="J17" s="543"/>
      <c r="K17" s="545" t="s">
        <v>725</v>
      </c>
      <c r="L17" s="545"/>
      <c r="M17" s="545"/>
      <c r="N17" s="299"/>
      <c r="O17" s="303"/>
      <c r="P17" s="165"/>
      <c r="Q17" s="266" t="s">
        <v>727</v>
      </c>
      <c r="R17" s="241"/>
      <c r="S17" s="264"/>
      <c r="T17" s="220"/>
      <c r="U17" s="220"/>
      <c r="V17" s="220"/>
      <c r="W17" s="220"/>
      <c r="X17" s="264"/>
      <c r="Y17" s="220"/>
      <c r="Z17" s="220"/>
      <c r="AA17" s="220"/>
      <c r="AB17" s="220">
        <f t="shared" ref="AB17" si="1">AB16+1</f>
        <v>4</v>
      </c>
      <c r="AC17" s="220" t="s">
        <v>177</v>
      </c>
      <c r="AD17" s="220"/>
    </row>
    <row r="18" spans="1:31" ht="15" customHeight="1">
      <c r="A18" s="449" t="s">
        <v>713</v>
      </c>
      <c r="B18" s="450"/>
      <c r="C18" s="450"/>
      <c r="D18" s="450"/>
      <c r="E18" s="450"/>
      <c r="F18" s="450"/>
      <c r="G18" s="543"/>
      <c r="H18" s="543"/>
      <c r="I18" s="543"/>
      <c r="J18" s="543"/>
      <c r="K18" s="452" t="s">
        <v>698</v>
      </c>
      <c r="L18" s="452"/>
      <c r="M18" s="452"/>
      <c r="N18" s="294"/>
      <c r="O18" s="300"/>
      <c r="P18" s="165"/>
      <c r="Q18" s="268"/>
      <c r="R18" s="269"/>
      <c r="S18" s="269"/>
      <c r="T18" s="353"/>
      <c r="U18" s="353" t="s">
        <v>717</v>
      </c>
      <c r="V18" s="353" t="s">
        <v>723</v>
      </c>
      <c r="W18" s="270"/>
      <c r="X18" s="264"/>
      <c r="Y18" s="220"/>
      <c r="Z18" s="220"/>
      <c r="AA18" s="220"/>
      <c r="AB18" s="220" t="s">
        <v>103</v>
      </c>
      <c r="AC18" s="223" t="s">
        <v>694</v>
      </c>
      <c r="AD18" s="220"/>
    </row>
    <row r="19" spans="1:31" s="134" customFormat="1" ht="15" customHeight="1">
      <c r="A19" s="449" t="s">
        <v>836</v>
      </c>
      <c r="B19" s="450"/>
      <c r="C19" s="450"/>
      <c r="D19" s="450"/>
      <c r="E19" s="450"/>
      <c r="F19" s="450"/>
      <c r="G19" s="543"/>
      <c r="H19" s="543"/>
      <c r="I19" s="543"/>
      <c r="J19" s="543"/>
      <c r="K19" s="452" t="s">
        <v>765</v>
      </c>
      <c r="L19" s="452"/>
      <c r="M19" s="452"/>
      <c r="N19" s="452"/>
      <c r="O19" s="375"/>
      <c r="P19" s="165"/>
      <c r="Q19" s="271"/>
      <c r="R19" s="272"/>
      <c r="S19" s="272"/>
      <c r="T19" s="352" t="s">
        <v>24</v>
      </c>
      <c r="U19" s="352" t="s">
        <v>718</v>
      </c>
      <c r="V19" s="352" t="s">
        <v>724</v>
      </c>
      <c r="W19" s="273"/>
      <c r="X19" s="264"/>
      <c r="Y19" s="220"/>
      <c r="Z19" s="220"/>
      <c r="AA19" s="220"/>
      <c r="AB19" s="220">
        <v>2</v>
      </c>
      <c r="AC19" s="80" t="str">
        <f>DGET(AB13:AC17,AC13,AB18:AB19)</f>
        <v>Turbine</v>
      </c>
      <c r="AD19" s="220"/>
      <c r="AE19" s="80"/>
    </row>
    <row r="20" spans="1:31" ht="15" customHeight="1">
      <c r="A20" s="449" t="s">
        <v>784</v>
      </c>
      <c r="B20" s="450"/>
      <c r="C20" s="450"/>
      <c r="D20" s="450"/>
      <c r="E20" s="450"/>
      <c r="F20" s="450"/>
      <c r="G20" s="543"/>
      <c r="H20" s="543"/>
      <c r="I20" s="543"/>
      <c r="J20" s="543"/>
      <c r="K20" s="452" t="s">
        <v>785</v>
      </c>
      <c r="L20" s="452"/>
      <c r="M20" s="452"/>
      <c r="N20" s="452"/>
      <c r="O20" s="394">
        <f>O19*144/62.4</f>
        <v>0</v>
      </c>
      <c r="P20" s="166"/>
      <c r="Q20" s="350"/>
      <c r="R20" s="272"/>
      <c r="S20" s="350" t="s">
        <v>715</v>
      </c>
      <c r="T20" s="354">
        <f>G18*400</f>
        <v>0</v>
      </c>
      <c r="U20" s="355">
        <f>T20*0.0165</f>
        <v>0</v>
      </c>
      <c r="V20" s="356" t="e">
        <f>$T$25/IF(U20&lt;=0,1,U20)</f>
        <v>#DIV/0!</v>
      </c>
      <c r="W20" s="273"/>
      <c r="X20" s="264"/>
      <c r="Y20" s="220"/>
      <c r="Z20" s="220"/>
      <c r="AA20" s="220"/>
      <c r="AB20" s="220"/>
      <c r="AC20" s="220"/>
      <c r="AD20" s="220"/>
    </row>
    <row r="21" spans="1:31" ht="15" customHeight="1" thickBot="1">
      <c r="A21" s="311" t="s">
        <v>693</v>
      </c>
      <c r="B21" s="301"/>
      <c r="C21" s="301"/>
      <c r="D21" s="301"/>
      <c r="E21" s="301"/>
      <c r="F21" s="301"/>
      <c r="G21" s="312"/>
      <c r="H21" s="312"/>
      <c r="I21" s="312"/>
      <c r="J21" s="312"/>
      <c r="K21" s="304"/>
      <c r="L21" s="304"/>
      <c r="M21" s="304"/>
      <c r="N21" s="304"/>
      <c r="O21" s="302"/>
      <c r="P21" s="165"/>
      <c r="Q21" s="350"/>
      <c r="R21" s="272"/>
      <c r="S21" s="350" t="s">
        <v>716</v>
      </c>
      <c r="T21" s="357">
        <f>'VFD Calculations'!G56</f>
        <v>0</v>
      </c>
      <c r="U21" s="355">
        <f>T21*0.0165</f>
        <v>0</v>
      </c>
      <c r="V21" s="356" t="e">
        <f>$T$25/IF(U21&lt;=0,1,U21)</f>
        <v>#DIV/0!</v>
      </c>
      <c r="W21" s="273"/>
      <c r="X21" s="220"/>
      <c r="Y21" s="220"/>
      <c r="Z21" s="220"/>
      <c r="AA21" s="220"/>
      <c r="AB21" s="220"/>
      <c r="AC21" s="220"/>
      <c r="AD21" s="220"/>
    </row>
    <row r="22" spans="1:31" ht="21.75" customHeight="1">
      <c r="A22" s="446" t="s">
        <v>711</v>
      </c>
      <c r="B22" s="447"/>
      <c r="C22" s="447"/>
      <c r="D22" s="447"/>
      <c r="E22" s="447"/>
      <c r="F22" s="447"/>
      <c r="G22" s="447"/>
      <c r="H22" s="447"/>
      <c r="I22" s="447"/>
      <c r="J22" s="447"/>
      <c r="K22" s="447"/>
      <c r="L22" s="447"/>
      <c r="M22" s="447"/>
      <c r="N22" s="447"/>
      <c r="O22" s="448"/>
      <c r="P22" s="165"/>
      <c r="Q22" s="350"/>
      <c r="R22" s="272"/>
      <c r="T22" s="272"/>
      <c r="U22" s="272"/>
      <c r="V22" s="272"/>
      <c r="W22" s="273"/>
      <c r="X22" s="220"/>
      <c r="Y22" s="220"/>
      <c r="Z22" s="220"/>
      <c r="AA22" s="220"/>
      <c r="AB22" s="220" t="s">
        <v>103</v>
      </c>
      <c r="AC22" s="223" t="s">
        <v>701</v>
      </c>
      <c r="AD22" s="220"/>
    </row>
    <row r="23" spans="1:31" ht="15.75" customHeight="1">
      <c r="A23" s="293" t="s">
        <v>710</v>
      </c>
      <c r="B23" s="181">
        <v>0</v>
      </c>
      <c r="C23" s="181">
        <v>0.1</v>
      </c>
      <c r="D23" s="181">
        <v>0.2</v>
      </c>
      <c r="E23" s="181">
        <v>0.3</v>
      </c>
      <c r="F23" s="181">
        <v>0.4</v>
      </c>
      <c r="G23" s="181">
        <v>0.5</v>
      </c>
      <c r="H23" s="181">
        <v>0.6</v>
      </c>
      <c r="I23" s="181">
        <v>0.7</v>
      </c>
      <c r="J23" s="181">
        <v>0.8</v>
      </c>
      <c r="K23" s="181">
        <v>0.9</v>
      </c>
      <c r="L23" s="181">
        <v>1</v>
      </c>
      <c r="M23" s="182" t="s">
        <v>99</v>
      </c>
      <c r="N23" s="499" t="str">
        <f>IF(M24=1,"Percentage of time at each flow rate interval.","Enter percentage of time at each flow rate interval.  Total must equal 100%.")</f>
        <v>Enter percentage of time at each flow rate interval.  Total must equal 100%.</v>
      </c>
      <c r="O23" s="500"/>
      <c r="Q23" s="350"/>
      <c r="R23" s="272"/>
      <c r="S23" s="350" t="s">
        <v>720</v>
      </c>
      <c r="T23" s="355">
        <f>IF(I27="",I26,I27)</f>
        <v>0</v>
      </c>
      <c r="U23" s="272"/>
      <c r="V23" s="272"/>
      <c r="W23" s="273"/>
      <c r="X23" s="220"/>
      <c r="Y23" s="220"/>
      <c r="Z23" s="220"/>
      <c r="AA23" s="220"/>
      <c r="AB23" s="220">
        <v>1</v>
      </c>
      <c r="AC23" s="220" t="s">
        <v>769</v>
      </c>
      <c r="AD23" s="220"/>
    </row>
    <row r="24" spans="1:31" ht="23.25" customHeight="1" thickBot="1">
      <c r="A24" s="295"/>
      <c r="B24" s="296"/>
      <c r="C24" s="296"/>
      <c r="D24" s="296"/>
      <c r="E24" s="296"/>
      <c r="F24" s="296"/>
      <c r="G24" s="296"/>
      <c r="H24" s="296"/>
      <c r="I24" s="296"/>
      <c r="J24" s="296"/>
      <c r="K24" s="296"/>
      <c r="L24" s="296"/>
      <c r="M24" s="297">
        <f>SUM(B24:L24)</f>
        <v>0</v>
      </c>
      <c r="N24" s="501"/>
      <c r="O24" s="502"/>
      <c r="Q24" s="350"/>
      <c r="R24" s="272"/>
      <c r="S24" s="350" t="s">
        <v>721</v>
      </c>
      <c r="T24" s="355" t="e">
        <f>N28</f>
        <v>#DIV/0!</v>
      </c>
      <c r="U24" s="272"/>
      <c r="V24" s="272"/>
      <c r="W24" s="273"/>
      <c r="X24" s="267"/>
      <c r="Y24" s="220"/>
      <c r="Z24" s="220"/>
      <c r="AA24" s="220"/>
      <c r="AB24" s="220">
        <f>AB23+1</f>
        <v>2</v>
      </c>
      <c r="AC24" s="221" t="s">
        <v>344</v>
      </c>
      <c r="AD24" s="220"/>
      <c r="AE24" s="162"/>
    </row>
    <row r="25" spans="1:31" ht="15" customHeight="1">
      <c r="A25" s="503" t="s">
        <v>708</v>
      </c>
      <c r="B25" s="504"/>
      <c r="C25" s="504"/>
      <c r="D25" s="504"/>
      <c r="E25" s="504"/>
      <c r="F25" s="504"/>
      <c r="G25" s="504"/>
      <c r="H25" s="504"/>
      <c r="I25" s="504"/>
      <c r="J25" s="504"/>
      <c r="K25" s="505"/>
      <c r="L25" s="288" t="s">
        <v>334</v>
      </c>
      <c r="M25" s="310">
        <f>G18</f>
        <v>0</v>
      </c>
      <c r="N25" s="307" t="e">
        <f>IF('VFD Calculations'!G58&lt;400,"None",60*M25)</f>
        <v>#DIV/0!</v>
      </c>
      <c r="O25" s="306" t="str">
        <f>"(A)"</f>
        <v>(A)</v>
      </c>
      <c r="P25" s="165"/>
      <c r="Q25" s="350"/>
      <c r="R25" s="272"/>
      <c r="S25" s="350" t="s">
        <v>722</v>
      </c>
      <c r="T25" s="355" t="e">
        <f>T23-T24</f>
        <v>#DIV/0!</v>
      </c>
      <c r="U25" s="272"/>
      <c r="V25" s="272"/>
      <c r="W25" s="273"/>
      <c r="X25" s="267"/>
      <c r="Y25" s="220"/>
      <c r="Z25" s="220"/>
      <c r="AA25" s="220"/>
      <c r="AB25" s="220">
        <f>AB24+1</f>
        <v>3</v>
      </c>
      <c r="AC25" s="220" t="s">
        <v>696</v>
      </c>
      <c r="AD25" s="220"/>
      <c r="AE25" s="162"/>
    </row>
    <row r="26" spans="1:31" ht="12.75" customHeight="1" thickBot="1">
      <c r="A26" s="451" t="s">
        <v>336</v>
      </c>
      <c r="B26" s="452"/>
      <c r="C26" s="452"/>
      <c r="D26" s="452"/>
      <c r="E26" s="452"/>
      <c r="F26" s="452"/>
      <c r="G26" s="452"/>
      <c r="H26" s="453"/>
      <c r="I26" s="442"/>
      <c r="J26" s="442"/>
      <c r="K26" s="442"/>
      <c r="L26" s="509" t="str">
        <f>"x 75% = " &amp; "(" &amp; "C" &amp; ")"</f>
        <v>x 75% = (C)</v>
      </c>
      <c r="M26" s="511">
        <f>I26*0.75</f>
        <v>0</v>
      </c>
      <c r="N26" s="512">
        <f>I27*0.75</f>
        <v>0</v>
      </c>
      <c r="O26" s="466" t="s">
        <v>57</v>
      </c>
      <c r="Q26" s="289"/>
      <c r="R26" s="290"/>
      <c r="S26" s="290"/>
      <c r="T26" s="290"/>
      <c r="U26" s="290"/>
      <c r="V26" s="290"/>
      <c r="W26" s="291"/>
      <c r="X26" s="267"/>
      <c r="Y26" s="220"/>
      <c r="Z26" s="220"/>
      <c r="AA26" s="220"/>
      <c r="AB26" s="220">
        <f t="shared" ref="AB26" si="2">AB25+1</f>
        <v>4</v>
      </c>
      <c r="AC26" s="220" t="s">
        <v>177</v>
      </c>
      <c r="AD26" s="220"/>
      <c r="AE26" s="162"/>
    </row>
    <row r="27" spans="1:31" ht="12.75" customHeight="1">
      <c r="A27" s="451" t="s">
        <v>337</v>
      </c>
      <c r="B27" s="452"/>
      <c r="C27" s="452"/>
      <c r="D27" s="452"/>
      <c r="E27" s="452"/>
      <c r="F27" s="452"/>
      <c r="G27" s="452"/>
      <c r="H27" s="453"/>
      <c r="I27" s="442"/>
      <c r="J27" s="442"/>
      <c r="K27" s="442"/>
      <c r="L27" s="510"/>
      <c r="M27" s="511"/>
      <c r="N27" s="513"/>
      <c r="O27" s="467"/>
      <c r="Q27" s="165"/>
      <c r="R27" s="165"/>
      <c r="S27" s="165"/>
      <c r="T27" s="165"/>
      <c r="U27" s="165"/>
      <c r="V27" s="165"/>
      <c r="W27" s="165"/>
      <c r="X27" s="267"/>
      <c r="Y27" s="220"/>
      <c r="Z27" s="220"/>
      <c r="AA27" s="220"/>
      <c r="AB27" s="220" t="s">
        <v>103</v>
      </c>
      <c r="AC27" s="223" t="s">
        <v>694</v>
      </c>
      <c r="AD27" s="220"/>
      <c r="AE27" s="162"/>
    </row>
    <row r="28" spans="1:31" ht="18.75" customHeight="1">
      <c r="A28" s="443" t="s">
        <v>728</v>
      </c>
      <c r="B28" s="444"/>
      <c r="C28" s="444"/>
      <c r="D28" s="444"/>
      <c r="E28" s="444"/>
      <c r="F28" s="444"/>
      <c r="G28" s="444"/>
      <c r="H28" s="444"/>
      <c r="I28" s="444"/>
      <c r="J28" s="444"/>
      <c r="K28" s="444"/>
      <c r="L28" s="444"/>
      <c r="M28" s="445"/>
      <c r="N28" s="183" t="e">
        <f>IF(I27=0,MIN(M26,IF(N25="None",0,N25)),MIN(M26,N26,N25))</f>
        <v>#DIV/0!</v>
      </c>
      <c r="O28" s="184"/>
      <c r="AA28" s="220"/>
      <c r="AB28" s="220">
        <v>2</v>
      </c>
      <c r="AC28" s="80" t="str">
        <f>DGET(AB22:AC26,AC22,AB27:AB28)</f>
        <v>Agricultural</v>
      </c>
      <c r="AD28" s="220"/>
    </row>
    <row r="29" spans="1:31" ht="57" customHeight="1">
      <c r="A29" s="506" t="s">
        <v>857</v>
      </c>
      <c r="B29" s="507"/>
      <c r="C29" s="507"/>
      <c r="D29" s="507"/>
      <c r="E29" s="507"/>
      <c r="F29" s="507"/>
      <c r="G29" s="507"/>
      <c r="H29" s="507"/>
      <c r="I29" s="507"/>
      <c r="J29" s="507"/>
      <c r="K29" s="507"/>
      <c r="L29" s="507"/>
      <c r="M29" s="507"/>
      <c r="N29" s="507"/>
      <c r="O29" s="508"/>
      <c r="Q29" s="165"/>
      <c r="R29" s="165"/>
      <c r="S29" s="165"/>
      <c r="T29" s="165"/>
      <c r="U29" s="165"/>
      <c r="V29" s="165"/>
      <c r="W29" s="165"/>
      <c r="X29" s="267"/>
      <c r="Y29" s="246"/>
      <c r="Z29" s="246"/>
      <c r="AA29" s="220"/>
      <c r="AB29" s="220"/>
      <c r="AC29" s="220"/>
      <c r="AD29" s="220"/>
    </row>
    <row r="30" spans="1:31" ht="28.5" customHeight="1">
      <c r="A30" s="506" t="s">
        <v>709</v>
      </c>
      <c r="B30" s="507"/>
      <c r="C30" s="507"/>
      <c r="D30" s="507"/>
      <c r="E30" s="507"/>
      <c r="F30" s="507"/>
      <c r="G30" s="507"/>
      <c r="H30" s="507"/>
      <c r="I30" s="507"/>
      <c r="J30" s="507"/>
      <c r="K30" s="507"/>
      <c r="L30" s="507"/>
      <c r="M30" s="507"/>
      <c r="N30" s="507"/>
      <c r="O30" s="508"/>
      <c r="Q30" s="165"/>
      <c r="R30" s="165"/>
      <c r="S30" s="165"/>
      <c r="T30" s="165"/>
      <c r="U30" s="165"/>
      <c r="V30" s="165"/>
      <c r="W30" s="165"/>
      <c r="X30" s="267"/>
      <c r="Y30" s="246"/>
      <c r="Z30" s="246"/>
      <c r="AA30" s="220"/>
      <c r="AB30" s="220"/>
      <c r="AC30" s="220"/>
      <c r="AD30" s="220"/>
    </row>
    <row r="31" spans="1:31" ht="26.25" customHeight="1">
      <c r="A31" s="520" t="s">
        <v>58</v>
      </c>
      <c r="B31" s="521"/>
      <c r="C31" s="521"/>
      <c r="D31" s="521"/>
      <c r="E31" s="521"/>
      <c r="F31" s="521"/>
      <c r="G31" s="521"/>
      <c r="H31" s="521"/>
      <c r="I31" s="521"/>
      <c r="J31" s="521"/>
      <c r="K31" s="521"/>
      <c r="L31" s="521"/>
      <c r="M31" s="521"/>
      <c r="N31" s="521"/>
      <c r="O31" s="522"/>
      <c r="Q31" s="220"/>
      <c r="R31" s="220"/>
      <c r="S31" s="220"/>
      <c r="T31" s="220"/>
      <c r="U31" s="220"/>
      <c r="V31" s="220"/>
      <c r="W31" s="220"/>
      <c r="X31" s="267"/>
      <c r="Y31" s="220"/>
      <c r="Z31" s="220"/>
      <c r="AA31" s="220"/>
      <c r="AB31" s="220" t="s">
        <v>103</v>
      </c>
      <c r="AC31" s="223" t="s">
        <v>702</v>
      </c>
      <c r="AD31" s="220"/>
    </row>
    <row r="32" spans="1:31" ht="13.5" customHeight="1">
      <c r="A32" s="523" t="s">
        <v>59</v>
      </c>
      <c r="B32" s="524"/>
      <c r="C32" s="524"/>
      <c r="D32" s="524"/>
      <c r="E32" s="524"/>
      <c r="F32" s="524"/>
      <c r="G32" s="524"/>
      <c r="H32" s="524"/>
      <c r="I32" s="524"/>
      <c r="J32" s="524"/>
      <c r="K32" s="524"/>
      <c r="L32" s="524"/>
      <c r="M32" s="524" t="s">
        <v>60</v>
      </c>
      <c r="N32" s="524"/>
      <c r="O32" s="527"/>
      <c r="Q32" s="220"/>
      <c r="R32" s="220"/>
      <c r="S32" s="220"/>
      <c r="T32" s="220"/>
      <c r="U32" s="220"/>
      <c r="V32" s="220"/>
      <c r="W32" s="220"/>
      <c r="X32" s="267"/>
      <c r="Y32" s="220"/>
      <c r="Z32" s="220"/>
      <c r="AA32" s="220"/>
      <c r="AB32" s="220">
        <v>1</v>
      </c>
      <c r="AC32" s="220" t="s">
        <v>703</v>
      </c>
      <c r="AD32" s="220"/>
    </row>
    <row r="33" spans="1:31" ht="23.25" customHeight="1">
      <c r="A33" s="525"/>
      <c r="B33" s="526"/>
      <c r="C33" s="526"/>
      <c r="D33" s="526"/>
      <c r="E33" s="526"/>
      <c r="F33" s="526"/>
      <c r="G33" s="526"/>
      <c r="H33" s="526"/>
      <c r="I33" s="526"/>
      <c r="J33" s="526"/>
      <c r="K33" s="526"/>
      <c r="L33" s="526"/>
      <c r="M33" s="526"/>
      <c r="N33" s="526"/>
      <c r="O33" s="528"/>
      <c r="P33" s="165"/>
      <c r="Q33" s="220"/>
      <c r="R33" s="220"/>
      <c r="S33" s="220"/>
      <c r="T33" s="220"/>
      <c r="U33" s="220"/>
      <c r="V33" s="220"/>
      <c r="W33" s="220"/>
      <c r="X33" s="267"/>
      <c r="Y33" s="220"/>
      <c r="Z33" s="220"/>
      <c r="AA33" s="220"/>
      <c r="AB33" s="220">
        <f>AB32+1</f>
        <v>2</v>
      </c>
      <c r="AC33" s="220" t="s">
        <v>707</v>
      </c>
      <c r="AD33" s="220"/>
    </row>
    <row r="34" spans="1:31" ht="13.5" customHeight="1">
      <c r="A34" s="514" t="s">
        <v>714</v>
      </c>
      <c r="B34" s="515"/>
      <c r="C34" s="515"/>
      <c r="D34" s="515"/>
      <c r="E34" s="515"/>
      <c r="F34" s="515"/>
      <c r="G34" s="515"/>
      <c r="H34" s="515"/>
      <c r="I34" s="515"/>
      <c r="J34" s="515"/>
      <c r="K34" s="515"/>
      <c r="L34" s="515"/>
      <c r="M34" s="515"/>
      <c r="N34" s="515"/>
      <c r="O34" s="516"/>
      <c r="Q34" s="220"/>
      <c r="R34" s="220"/>
      <c r="S34" s="220"/>
      <c r="T34" s="220"/>
      <c r="U34" s="220"/>
      <c r="V34" s="220"/>
      <c r="W34" s="220"/>
      <c r="X34" s="267"/>
      <c r="Y34" s="220"/>
      <c r="Z34" s="220"/>
      <c r="AA34" s="220"/>
      <c r="AB34" s="220">
        <f>AB33+1</f>
        <v>3</v>
      </c>
      <c r="AC34" s="220" t="s">
        <v>712</v>
      </c>
      <c r="AD34" s="220"/>
    </row>
    <row r="35" spans="1:31" ht="16.5" customHeight="1">
      <c r="A35" s="517" t="s">
        <v>61</v>
      </c>
      <c r="B35" s="518"/>
      <c r="C35" s="518"/>
      <c r="D35" s="518"/>
      <c r="E35" s="518"/>
      <c r="F35" s="518"/>
      <c r="G35" s="518"/>
      <c r="H35" s="518"/>
      <c r="I35" s="518"/>
      <c r="J35" s="518"/>
      <c r="K35" s="518"/>
      <c r="L35" s="518"/>
      <c r="M35" s="518"/>
      <c r="N35" s="518"/>
      <c r="O35" s="519"/>
      <c r="Q35" s="220"/>
      <c r="R35" s="220"/>
      <c r="S35" s="220"/>
      <c r="T35" s="220"/>
      <c r="U35" s="220"/>
      <c r="V35" s="220"/>
      <c r="W35" s="220"/>
      <c r="X35" s="267"/>
      <c r="Y35" s="220"/>
      <c r="Z35" s="220"/>
      <c r="AA35" s="220"/>
      <c r="AB35" s="220">
        <f t="shared" ref="AB35" si="3">AB34+1</f>
        <v>4</v>
      </c>
      <c r="AC35" s="220" t="s">
        <v>177</v>
      </c>
      <c r="AD35" s="220"/>
    </row>
    <row r="36" spans="1:31" ht="15" customHeight="1">
      <c r="A36" s="536" t="s">
        <v>62</v>
      </c>
      <c r="B36" s="537"/>
      <c r="C36" s="537"/>
      <c r="D36" s="537"/>
      <c r="E36" s="537"/>
      <c r="F36" s="537"/>
      <c r="G36" s="537"/>
      <c r="H36" s="537"/>
      <c r="I36" s="538" t="s">
        <v>635</v>
      </c>
      <c r="J36" s="538"/>
      <c r="K36" s="538"/>
      <c r="L36" s="538"/>
      <c r="M36" s="538"/>
      <c r="N36" s="538"/>
      <c r="O36" s="539"/>
      <c r="Q36" s="220"/>
      <c r="R36" s="220"/>
      <c r="S36" s="220"/>
      <c r="T36" s="220"/>
      <c r="U36" s="220"/>
      <c r="V36" s="220"/>
      <c r="W36" s="220"/>
      <c r="X36" s="220"/>
      <c r="Y36" s="220"/>
      <c r="Z36" s="220"/>
      <c r="AA36" s="220"/>
      <c r="AB36" s="220" t="s">
        <v>103</v>
      </c>
      <c r="AC36" s="223" t="s">
        <v>694</v>
      </c>
      <c r="AD36" s="220"/>
    </row>
    <row r="37" spans="1:31" ht="15" customHeight="1">
      <c r="A37" s="135"/>
      <c r="B37" s="542" t="s">
        <v>63</v>
      </c>
      <c r="C37" s="542"/>
      <c r="D37" s="542"/>
      <c r="E37" s="542"/>
      <c r="F37" s="542"/>
      <c r="G37" s="542"/>
      <c r="H37" s="542"/>
      <c r="I37" s="538"/>
      <c r="J37" s="538"/>
      <c r="K37" s="538"/>
      <c r="L37" s="538"/>
      <c r="M37" s="538"/>
      <c r="N37" s="538"/>
      <c r="O37" s="539"/>
      <c r="S37" s="172"/>
      <c r="T37" s="172"/>
      <c r="U37" s="172"/>
      <c r="V37" s="172"/>
      <c r="W37" s="172"/>
      <c r="X37" s="220"/>
      <c r="Y37" s="220"/>
      <c r="Z37" s="220"/>
      <c r="AA37" s="220"/>
      <c r="AB37" s="220">
        <v>3</v>
      </c>
      <c r="AC37" s="80" t="str">
        <f>DGET(AB31:AC35,AC31,AB36:AB37)</f>
        <v>Turns ON/OFF as Needed</v>
      </c>
      <c r="AD37" s="220"/>
    </row>
    <row r="38" spans="1:31" ht="15" customHeight="1">
      <c r="A38" s="135"/>
      <c r="B38" s="542" t="s">
        <v>64</v>
      </c>
      <c r="C38" s="542"/>
      <c r="D38" s="542"/>
      <c r="E38" s="542"/>
      <c r="F38" s="542"/>
      <c r="G38" s="542"/>
      <c r="H38" s="542"/>
      <c r="I38" s="538"/>
      <c r="J38" s="538"/>
      <c r="K38" s="538"/>
      <c r="L38" s="538"/>
      <c r="M38" s="538"/>
      <c r="N38" s="538"/>
      <c r="O38" s="539"/>
      <c r="S38" s="172"/>
      <c r="T38" s="172"/>
      <c r="U38" s="172"/>
      <c r="V38" s="172"/>
      <c r="W38" s="172"/>
      <c r="X38" s="220"/>
      <c r="Y38" s="220"/>
      <c r="Z38" s="220"/>
      <c r="AA38" s="220"/>
      <c r="AB38" s="220"/>
      <c r="AC38" s="220"/>
    </row>
    <row r="39" spans="1:31" ht="15" customHeight="1">
      <c r="A39" s="135"/>
      <c r="B39" s="542" t="s">
        <v>65</v>
      </c>
      <c r="C39" s="542"/>
      <c r="D39" s="542"/>
      <c r="E39" s="542"/>
      <c r="F39" s="542"/>
      <c r="G39" s="542"/>
      <c r="H39" s="542"/>
      <c r="I39" s="538"/>
      <c r="J39" s="538"/>
      <c r="K39" s="538"/>
      <c r="L39" s="538"/>
      <c r="M39" s="538"/>
      <c r="N39" s="538"/>
      <c r="O39" s="539"/>
      <c r="S39" s="172"/>
      <c r="T39" s="172"/>
      <c r="U39" s="172"/>
      <c r="V39" s="172"/>
      <c r="W39" s="172"/>
      <c r="X39" s="172"/>
      <c r="Y39" s="172"/>
      <c r="Z39" s="172"/>
      <c r="AA39" s="172"/>
    </row>
    <row r="40" spans="1:31" ht="15" customHeight="1" thickBot="1">
      <c r="A40" s="185"/>
      <c r="B40" s="458" t="s">
        <v>66</v>
      </c>
      <c r="C40" s="458"/>
      <c r="D40" s="458"/>
      <c r="E40" s="458"/>
      <c r="F40" s="458"/>
      <c r="G40" s="458"/>
      <c r="H40" s="458"/>
      <c r="I40" s="540"/>
      <c r="J40" s="540"/>
      <c r="K40" s="540"/>
      <c r="L40" s="540"/>
      <c r="M40" s="540"/>
      <c r="N40" s="540"/>
      <c r="O40" s="541"/>
      <c r="S40" s="172"/>
      <c r="T40" s="172"/>
      <c r="U40" s="172"/>
      <c r="V40" s="172"/>
      <c r="W40" s="172"/>
      <c r="X40" s="172"/>
      <c r="Y40" s="172"/>
      <c r="Z40" s="172"/>
      <c r="AA40" s="172"/>
    </row>
    <row r="41" spans="1:31" ht="12.75" customHeight="1">
      <c r="A41" s="305" t="s">
        <v>67</v>
      </c>
      <c r="B41" s="274"/>
      <c r="C41" s="274"/>
      <c r="D41" s="274"/>
      <c r="E41" s="274"/>
      <c r="F41" s="274"/>
      <c r="G41" s="274"/>
      <c r="H41" s="274"/>
      <c r="I41" s="274"/>
      <c r="J41" s="274"/>
      <c r="K41" s="274"/>
      <c r="L41" s="274"/>
      <c r="M41" s="274"/>
      <c r="N41" s="274"/>
      <c r="O41" s="275"/>
      <c r="S41" s="172"/>
      <c r="T41" s="172"/>
      <c r="U41" s="172"/>
      <c r="V41" s="172"/>
      <c r="W41" s="172"/>
      <c r="X41" s="172"/>
      <c r="Y41" s="172"/>
      <c r="Z41" s="172"/>
      <c r="AA41" s="172"/>
    </row>
    <row r="42" spans="1:31" ht="14.25" customHeight="1">
      <c r="A42" s="276" t="s">
        <v>68</v>
      </c>
      <c r="B42" s="277"/>
      <c r="C42" s="277"/>
      <c r="D42" s="277"/>
      <c r="E42" s="277"/>
      <c r="F42" s="277"/>
      <c r="G42" s="277"/>
      <c r="H42" s="277"/>
      <c r="I42" s="277"/>
      <c r="J42" s="277"/>
      <c r="K42" s="278"/>
      <c r="L42" s="529" t="s">
        <v>60</v>
      </c>
      <c r="M42" s="530"/>
      <c r="N42" s="530"/>
      <c r="O42" s="531"/>
      <c r="Q42" s="81"/>
      <c r="R42" s="81"/>
      <c r="S42" s="172"/>
      <c r="T42" s="172"/>
      <c r="U42" s="172"/>
      <c r="V42" s="172"/>
      <c r="W42" s="172"/>
      <c r="X42" s="172"/>
      <c r="Y42" s="172"/>
      <c r="Z42" s="172"/>
      <c r="AA42" s="172"/>
    </row>
    <row r="43" spans="1:31" ht="22.5" customHeight="1">
      <c r="A43" s="279"/>
      <c r="B43" s="280"/>
      <c r="C43" s="280"/>
      <c r="D43" s="280"/>
      <c r="E43" s="280"/>
      <c r="F43" s="280"/>
      <c r="G43" s="280"/>
      <c r="H43" s="280"/>
      <c r="I43" s="280"/>
      <c r="J43" s="280"/>
      <c r="K43" s="281"/>
      <c r="L43" s="532"/>
      <c r="M43" s="533"/>
      <c r="N43" s="534"/>
      <c r="O43" s="535"/>
      <c r="Q43" s="81"/>
      <c r="R43" s="81"/>
      <c r="S43" s="172"/>
      <c r="T43" s="172"/>
      <c r="U43" s="172"/>
      <c r="V43" s="172"/>
      <c r="W43" s="172"/>
      <c r="X43" s="172"/>
      <c r="Y43" s="172"/>
      <c r="Z43" s="172"/>
      <c r="AA43" s="172"/>
      <c r="AD43" s="81"/>
    </row>
    <row r="44" spans="1:31" s="81" customFormat="1" ht="13.5" customHeight="1">
      <c r="A44" s="491" t="s">
        <v>69</v>
      </c>
      <c r="B44" s="492"/>
      <c r="C44" s="492"/>
      <c r="D44" s="492"/>
      <c r="E44" s="492"/>
      <c r="F44" s="492"/>
      <c r="G44" s="492"/>
      <c r="H44" s="492"/>
      <c r="I44" s="282" t="s">
        <v>70</v>
      </c>
      <c r="J44" s="283"/>
      <c r="K44" s="284"/>
      <c r="L44" s="495" t="s">
        <v>71</v>
      </c>
      <c r="M44" s="496"/>
      <c r="N44" s="168" t="s">
        <v>72</v>
      </c>
      <c r="O44" s="167" t="s">
        <v>73</v>
      </c>
      <c r="S44" s="172"/>
      <c r="T44" s="172"/>
      <c r="U44" s="172"/>
      <c r="V44" s="172"/>
      <c r="W44" s="172"/>
      <c r="X44" s="172"/>
      <c r="Y44" s="172"/>
      <c r="Z44" s="172"/>
      <c r="AA44" s="172"/>
      <c r="AE44" s="80"/>
    </row>
    <row r="45" spans="1:31" s="81" customFormat="1" ht="13.5" customHeight="1" thickBot="1">
      <c r="A45" s="493"/>
      <c r="B45" s="494"/>
      <c r="C45" s="494"/>
      <c r="D45" s="494"/>
      <c r="E45" s="494"/>
      <c r="F45" s="494"/>
      <c r="G45" s="494"/>
      <c r="H45" s="494"/>
      <c r="I45" s="285"/>
      <c r="J45" s="286"/>
      <c r="K45" s="287"/>
      <c r="L45" s="497"/>
      <c r="M45" s="498"/>
      <c r="N45" s="169">
        <f>IF(CustMeas!E22="","",CustMeas!E22)</f>
        <v>261756</v>
      </c>
      <c r="O45" s="170">
        <f>IF(CustMeas!E23="","",CustMeas!E23)</f>
        <v>556000</v>
      </c>
      <c r="Q45" s="165"/>
      <c r="R45" s="80"/>
      <c r="S45" s="172"/>
      <c r="T45" s="172"/>
      <c r="U45" s="172"/>
      <c r="V45" s="172"/>
      <c r="W45" s="172"/>
      <c r="X45" s="172"/>
      <c r="Y45" s="172"/>
      <c r="Z45" s="172"/>
      <c r="AA45" s="172"/>
    </row>
    <row r="46" spans="1:31" s="81" customFormat="1" ht="13.5" customHeight="1">
      <c r="A46" s="80"/>
      <c r="B46" s="80"/>
      <c r="C46" s="80"/>
      <c r="D46" s="80"/>
      <c r="E46" s="80"/>
      <c r="F46" s="80"/>
      <c r="G46" s="80"/>
      <c r="H46" s="80"/>
      <c r="I46" s="80"/>
      <c r="J46" s="80"/>
      <c r="K46" s="80"/>
      <c r="L46" s="80"/>
      <c r="M46" s="80"/>
      <c r="N46" s="80"/>
      <c r="O46" s="80"/>
      <c r="Q46" s="80"/>
      <c r="R46" s="80"/>
      <c r="S46" s="172"/>
      <c r="T46" s="172"/>
      <c r="U46" s="172"/>
      <c r="V46" s="172"/>
      <c r="W46" s="172"/>
      <c r="X46" s="172"/>
      <c r="Y46" s="172"/>
      <c r="Z46" s="172"/>
      <c r="AA46" s="172"/>
      <c r="AD46" s="80"/>
    </row>
    <row r="47" spans="1:31" ht="17.25" customHeight="1">
      <c r="P47" s="165"/>
      <c r="S47" s="172"/>
      <c r="T47" s="172"/>
      <c r="U47" s="172"/>
      <c r="V47" s="172"/>
      <c r="W47" s="172"/>
      <c r="X47" s="172"/>
      <c r="Y47" s="172"/>
      <c r="Z47" s="172"/>
      <c r="AA47" s="172"/>
      <c r="AE47" s="81"/>
    </row>
    <row r="48" spans="1:31" ht="15" customHeight="1">
      <c r="X48" s="172"/>
      <c r="Y48" s="172"/>
      <c r="Z48" s="172"/>
      <c r="AA48" s="172"/>
    </row>
    <row r="49" spans="24:27" ht="15.75" customHeight="1">
      <c r="X49" s="172"/>
      <c r="Y49" s="172"/>
      <c r="Z49" s="172"/>
      <c r="AA49" s="172"/>
    </row>
    <row r="50" spans="24:27" ht="16.5" customHeight="1"/>
    <row r="51" spans="24:27" ht="15" customHeight="1"/>
    <row r="52" spans="24:27" ht="16.5" customHeight="1"/>
  </sheetData>
  <mergeCells count="78">
    <mergeCell ref="G17:J17"/>
    <mergeCell ref="G16:J16"/>
    <mergeCell ref="K18:M18"/>
    <mergeCell ref="K16:M16"/>
    <mergeCell ref="K15:M15"/>
    <mergeCell ref="K17:M17"/>
    <mergeCell ref="K20:N20"/>
    <mergeCell ref="K19:N19"/>
    <mergeCell ref="G19:J19"/>
    <mergeCell ref="G20:J20"/>
    <mergeCell ref="G18:J18"/>
    <mergeCell ref="L42:O43"/>
    <mergeCell ref="A36:H36"/>
    <mergeCell ref="I36:O40"/>
    <mergeCell ref="B37:H37"/>
    <mergeCell ref="B38:H38"/>
    <mergeCell ref="B39:H39"/>
    <mergeCell ref="B40:H40"/>
    <mergeCell ref="A34:O34"/>
    <mergeCell ref="A35:O35"/>
    <mergeCell ref="A31:O31"/>
    <mergeCell ref="A32:L33"/>
    <mergeCell ref="M32:O33"/>
    <mergeCell ref="L3:M3"/>
    <mergeCell ref="G8:K8"/>
    <mergeCell ref="L9:O9"/>
    <mergeCell ref="A44:H45"/>
    <mergeCell ref="L44:M44"/>
    <mergeCell ref="L45:M45"/>
    <mergeCell ref="N23:O24"/>
    <mergeCell ref="A20:F20"/>
    <mergeCell ref="A19:F19"/>
    <mergeCell ref="A25:K25"/>
    <mergeCell ref="A29:O29"/>
    <mergeCell ref="A30:O30"/>
    <mergeCell ref="A27:H27"/>
    <mergeCell ref="L26:L27"/>
    <mergeCell ref="M26:M27"/>
    <mergeCell ref="N26:N27"/>
    <mergeCell ref="D2:F2"/>
    <mergeCell ref="G2:H2"/>
    <mergeCell ref="I2:K2"/>
    <mergeCell ref="A3:K3"/>
    <mergeCell ref="A4:F4"/>
    <mergeCell ref="G4:H4"/>
    <mergeCell ref="I4:K4"/>
    <mergeCell ref="Q1:W1"/>
    <mergeCell ref="N15:O15"/>
    <mergeCell ref="N16:O16"/>
    <mergeCell ref="A14:O14"/>
    <mergeCell ref="A16:F16"/>
    <mergeCell ref="N3:O3"/>
    <mergeCell ref="A10:K10"/>
    <mergeCell ref="A11:O11"/>
    <mergeCell ref="I12:O12"/>
    <mergeCell ref="I13:O13"/>
    <mergeCell ref="A15:F15"/>
    <mergeCell ref="L7:O7"/>
    <mergeCell ref="A9:F9"/>
    <mergeCell ref="G9:K9"/>
    <mergeCell ref="A8:F8"/>
    <mergeCell ref="A1:O1"/>
    <mergeCell ref="L5:O5"/>
    <mergeCell ref="I27:K27"/>
    <mergeCell ref="A28:M28"/>
    <mergeCell ref="A22:O22"/>
    <mergeCell ref="A17:F17"/>
    <mergeCell ref="A18:F18"/>
    <mergeCell ref="I26:K26"/>
    <mergeCell ref="A26:H26"/>
    <mergeCell ref="A12:H12"/>
    <mergeCell ref="A13:H13"/>
    <mergeCell ref="G6:H6"/>
    <mergeCell ref="I6:K6"/>
    <mergeCell ref="A7:K7"/>
    <mergeCell ref="A5:K5"/>
    <mergeCell ref="O26:O27"/>
    <mergeCell ref="G15:J15"/>
  </mergeCells>
  <conditionalFormatting sqref="M24">
    <cfRule type="cellIs" dxfId="20" priority="1" operator="equal">
      <formula>1</formula>
    </cfRule>
    <cfRule type="cellIs" dxfId="19" priority="2" operator="lessThan">
      <formula>1</formula>
    </cfRule>
    <cfRule type="cellIs" dxfId="18" priority="3" operator="greaterThan">
      <formula>1</formula>
    </cfRule>
  </conditionalFormatting>
  <dataValidations disablePrompts="1" count="1">
    <dataValidation type="list" allowBlank="1" showInputMessage="1" showErrorMessage="1" sqref="AE12">
      <formula1>Res_Techs</formula1>
    </dataValidation>
  </dataValidations>
  <printOptions horizontalCentered="1"/>
  <pageMargins left="0.43" right="0.44" top="0.5" bottom="0.44" header="0.3" footer="0.22"/>
  <pageSetup orientation="portrait" blackAndWhite="1" r:id="rId1"/>
  <headerFooter alignWithMargins="0">
    <oddFooter>&amp;RVersion 6/28/12</oddFooter>
  </headerFooter>
  <rowBreaks count="1" manualBreakCount="1">
    <brk id="45" max="16383" man="1"/>
  </rowBreaks>
  <drawing r:id="rId2"/>
  <legacyDrawing r:id="rId3"/>
</worksheet>
</file>

<file path=xl/worksheets/sheet5.xml><?xml version="1.0" encoding="utf-8"?>
<worksheet xmlns="http://schemas.openxmlformats.org/spreadsheetml/2006/main" xmlns:r="http://schemas.openxmlformats.org/officeDocument/2006/relationships">
  <sheetPr codeName="Sheet2"/>
  <dimension ref="A1:AB96"/>
  <sheetViews>
    <sheetView topLeftCell="A73" workbookViewId="0">
      <selection activeCell="B2" sqref="B2"/>
    </sheetView>
  </sheetViews>
  <sheetFormatPr defaultRowHeight="15"/>
  <cols>
    <col min="1" max="1" width="8.875" style="194" customWidth="1"/>
    <col min="2" max="2" width="9.625" style="194" customWidth="1"/>
    <col min="3" max="3" width="8.375" style="194" bestFit="1" customWidth="1"/>
    <col min="4" max="4" width="9" style="194"/>
    <col min="5" max="5" width="12" style="194" customWidth="1"/>
    <col min="6" max="6" width="10.125" style="194" bestFit="1" customWidth="1"/>
    <col min="7" max="7" width="8.75" style="194" bestFit="1" customWidth="1"/>
    <col min="8" max="8" width="7.875" style="194" customWidth="1"/>
    <col min="9" max="9" width="12.75" style="194" customWidth="1"/>
    <col min="10" max="10" width="8.5" style="194" customWidth="1"/>
    <col min="11" max="13" width="10.625" style="194" customWidth="1"/>
    <col min="14" max="14" width="11.125" style="194" customWidth="1"/>
    <col min="15" max="15" width="14.75" style="194" customWidth="1"/>
    <col min="16" max="16384" width="9" style="194"/>
  </cols>
  <sheetData>
    <row r="1" spans="1:12" ht="19.5" thickBot="1">
      <c r="A1" s="482" t="s">
        <v>767</v>
      </c>
      <c r="B1" s="482"/>
      <c r="C1" s="482"/>
      <c r="D1" s="482"/>
      <c r="E1" s="482"/>
      <c r="F1" s="482"/>
      <c r="G1" s="482"/>
      <c r="H1" s="482"/>
      <c r="I1" s="482"/>
      <c r="J1" s="332"/>
      <c r="K1" s="209"/>
    </row>
    <row r="2" spans="1:12" ht="16.5" customHeight="1">
      <c r="B2" s="195">
        <v>2011</v>
      </c>
      <c r="C2" s="194" t="s">
        <v>658</v>
      </c>
      <c r="J2" s="202"/>
      <c r="K2" s="202"/>
    </row>
    <row r="3" spans="1:12">
      <c r="B3" s="195">
        <v>400</v>
      </c>
      <c r="C3" s="194" t="s">
        <v>683</v>
      </c>
      <c r="K3" s="202"/>
    </row>
    <row r="4" spans="1:12">
      <c r="B4" s="196">
        <v>0.88</v>
      </c>
      <c r="C4" s="194" t="s">
        <v>664</v>
      </c>
      <c r="J4" s="202"/>
      <c r="K4" s="202"/>
    </row>
    <row r="5" spans="1:12">
      <c r="B5" s="198">
        <f>'VFD Application'!O19*2.31</f>
        <v>0</v>
      </c>
      <c r="C5" s="314" t="s">
        <v>762</v>
      </c>
      <c r="J5" s="202"/>
      <c r="K5" s="202"/>
    </row>
    <row r="6" spans="1:12">
      <c r="B6" s="308">
        <f>'VFD Application'!N15</f>
        <v>41019</v>
      </c>
      <c r="C6" s="194" t="s">
        <v>665</v>
      </c>
      <c r="F6" s="551" t="s">
        <v>686</v>
      </c>
      <c r="G6" s="551"/>
      <c r="H6" s="551"/>
      <c r="I6" s="551"/>
      <c r="J6" s="337"/>
      <c r="K6" s="202"/>
    </row>
    <row r="7" spans="1:12">
      <c r="B7" s="308">
        <f>'VFD Application'!N16</f>
        <v>41197</v>
      </c>
      <c r="C7" s="194" t="s">
        <v>666</v>
      </c>
      <c r="F7" s="551"/>
      <c r="G7" s="551"/>
      <c r="H7" s="551"/>
      <c r="I7" s="551"/>
      <c r="J7" s="337"/>
      <c r="K7" s="197"/>
      <c r="L7" s="197"/>
    </row>
    <row r="8" spans="1:12" s="197" customFormat="1">
      <c r="B8" s="198">
        <f>((B7-B6)*24)*(1-'VFD Application'!A24)</f>
        <v>4272</v>
      </c>
      <c r="C8" s="197" t="s">
        <v>667</v>
      </c>
      <c r="F8" s="551"/>
      <c r="G8" s="551"/>
      <c r="H8" s="551"/>
      <c r="I8" s="551"/>
      <c r="J8" s="337"/>
      <c r="K8" s="202"/>
      <c r="L8" s="194"/>
    </row>
    <row r="9" spans="1:12">
      <c r="A9" s="197"/>
      <c r="B9" s="324">
        <f>'VFD Application'!G17</f>
        <v>0</v>
      </c>
      <c r="C9" s="194" t="s">
        <v>668</v>
      </c>
      <c r="D9" s="197"/>
      <c r="E9" s="197"/>
      <c r="F9" s="199"/>
      <c r="G9" s="199"/>
      <c r="H9" s="199"/>
      <c r="I9" s="199"/>
      <c r="J9" s="199"/>
      <c r="K9" s="202"/>
    </row>
    <row r="10" spans="1:12">
      <c r="A10" s="197"/>
      <c r="B10" s="549" t="s">
        <v>766</v>
      </c>
      <c r="C10" s="550"/>
      <c r="D10" s="197"/>
      <c r="E10" s="197"/>
      <c r="F10" s="199"/>
      <c r="G10" s="199"/>
      <c r="H10" s="199"/>
      <c r="I10" s="199"/>
      <c r="J10" s="199"/>
      <c r="K10" s="206"/>
      <c r="L10" s="203"/>
    </row>
    <row r="11" spans="1:12" s="203" customFormat="1">
      <c r="A11" s="194"/>
      <c r="D11" s="194"/>
      <c r="E11" s="194"/>
      <c r="F11" s="194"/>
      <c r="G11" s="194"/>
      <c r="H11" s="194"/>
      <c r="I11" s="194"/>
      <c r="J11" s="202"/>
      <c r="K11" s="202"/>
      <c r="L11" s="194"/>
    </row>
    <row r="12" spans="1:12">
      <c r="A12" s="193" t="s">
        <v>669</v>
      </c>
      <c r="J12" s="202"/>
      <c r="K12" s="202"/>
    </row>
    <row r="13" spans="1:12" ht="39" customHeight="1">
      <c r="A13" s="203" t="s">
        <v>670</v>
      </c>
      <c r="B13" s="203" t="s">
        <v>671</v>
      </c>
      <c r="C13" s="361" t="s">
        <v>770</v>
      </c>
      <c r="D13" s="313" t="s">
        <v>760</v>
      </c>
      <c r="E13" s="313" t="s">
        <v>761</v>
      </c>
      <c r="F13" s="373" t="s">
        <v>777</v>
      </c>
      <c r="G13" s="369"/>
      <c r="H13" s="369"/>
      <c r="I13" s="368"/>
      <c r="J13" s="202" t="str">
        <f>"Const. Speed HP = "&amp;IF(OR('VFD Application'!AB10=3,'VFD Application'!AB10=4),FIXED('VFD Calculations'!D45,1)&amp;" HP",FIXED(G14,6)&amp;" GPM^2 + "&amp;FIXED(G15,4)&amp;" GPM + "&amp;FIXED(G16,1))</f>
        <v>Const. Speed HP = -0.000381 GPM^2 + 0.2565 GPM + 22.5</v>
      </c>
    </row>
    <row r="14" spans="1:12" ht="15" customHeight="1">
      <c r="A14" s="362">
        <v>400</v>
      </c>
      <c r="B14" s="362">
        <v>460</v>
      </c>
      <c r="C14" s="363">
        <v>0.72499999999999998</v>
      </c>
      <c r="D14" s="316">
        <f>(A14*B14)/(3960*C14)</f>
        <v>64.089167537443402</v>
      </c>
      <c r="E14" s="325">
        <f>G$14*A14^2+G$15*A14+G$16</f>
        <v>64.119456604271136</v>
      </c>
      <c r="F14" s="370" t="s">
        <v>774</v>
      </c>
      <c r="G14" s="371">
        <f>J15</f>
        <v>-3.8074030633914591E-4</v>
      </c>
      <c r="H14" s="372"/>
      <c r="I14" s="367"/>
      <c r="J14" s="428" t="s">
        <v>771</v>
      </c>
      <c r="K14" s="428" t="s">
        <v>772</v>
      </c>
      <c r="L14" s="428" t="s">
        <v>773</v>
      </c>
    </row>
    <row r="15" spans="1:12" ht="15.75">
      <c r="A15" s="362">
        <v>300</v>
      </c>
      <c r="B15" s="362">
        <v>620</v>
      </c>
      <c r="C15" s="363">
        <v>0.72</v>
      </c>
      <c r="D15" s="316">
        <f>(A15*B15)/(3960*C15)</f>
        <v>65.235690235690242</v>
      </c>
      <c r="E15" s="325">
        <f t="shared" ref="E15:E17" si="0">G$14*A15^2+G$15*A15+G$16</f>
        <v>65.124630323988583</v>
      </c>
      <c r="F15" s="370" t="s">
        <v>775</v>
      </c>
      <c r="G15" s="371">
        <f>K15</f>
        <v>0.25646647724022753</v>
      </c>
      <c r="H15" s="372"/>
      <c r="I15" s="367"/>
      <c r="J15" s="194">
        <f t="array" ref="J15:L15">LINEST(D$14:D$17,A$14:A$17^{1,2})</f>
        <v>-3.8074030633914591E-4</v>
      </c>
      <c r="K15" s="194">
        <v>0.25646647724022753</v>
      </c>
      <c r="L15" s="194">
        <v>22.451314722443463</v>
      </c>
    </row>
    <row r="16" spans="1:12" ht="15.75">
      <c r="A16" s="362">
        <v>200</v>
      </c>
      <c r="B16" s="362">
        <v>720</v>
      </c>
      <c r="C16" s="363">
        <v>0.625</v>
      </c>
      <c r="D16" s="316">
        <f>(A16*B16)/(3960*C16)</f>
        <v>58.18181818181818</v>
      </c>
      <c r="E16" s="325">
        <f t="shared" si="0"/>
        <v>58.514997916923129</v>
      </c>
      <c r="F16" s="370" t="s">
        <v>776</v>
      </c>
      <c r="G16" s="371">
        <f>L15</f>
        <v>22.451314722443463</v>
      </c>
      <c r="H16" s="372"/>
      <c r="I16" s="366"/>
      <c r="J16" s="338"/>
      <c r="K16" s="202"/>
    </row>
    <row r="17" spans="1:14">
      <c r="A17" s="362">
        <v>180</v>
      </c>
      <c r="B17" s="362">
        <v>740</v>
      </c>
      <c r="C17" s="363">
        <v>0.59499999999999997</v>
      </c>
      <c r="D17" s="316">
        <f>(A17*B17)/(3960*C17)</f>
        <v>56.531703590527123</v>
      </c>
      <c r="E17" s="325">
        <f t="shared" si="0"/>
        <v>56.279294700296091</v>
      </c>
      <c r="F17" s="365"/>
      <c r="G17" s="366"/>
      <c r="H17" s="366"/>
      <c r="I17" s="366"/>
      <c r="J17" s="338"/>
      <c r="K17" s="202"/>
    </row>
    <row r="18" spans="1:14">
      <c r="J18" s="202"/>
      <c r="K18" s="206"/>
      <c r="L18" s="203"/>
    </row>
    <row r="19" spans="1:14" s="203" customFormat="1">
      <c r="A19" s="204"/>
      <c r="B19" s="205"/>
      <c r="C19" s="194"/>
      <c r="D19" s="194"/>
      <c r="E19" s="194"/>
      <c r="F19" s="194"/>
      <c r="G19" s="194"/>
      <c r="H19" s="194"/>
      <c r="I19" s="194"/>
      <c r="J19" s="202"/>
      <c r="K19" s="202"/>
      <c r="L19" s="194"/>
    </row>
    <row r="20" spans="1:14">
      <c r="A20" s="193" t="s">
        <v>672</v>
      </c>
      <c r="J20" s="202"/>
      <c r="K20" s="202"/>
    </row>
    <row r="21" spans="1:14" ht="45">
      <c r="A21" s="361" t="s">
        <v>770</v>
      </c>
      <c r="B21" s="203" t="s">
        <v>670</v>
      </c>
      <c r="C21" s="203" t="s">
        <v>673</v>
      </c>
      <c r="D21" s="203" t="s">
        <v>674</v>
      </c>
      <c r="E21" s="318" t="s">
        <v>763</v>
      </c>
      <c r="F21" s="369" t="s">
        <v>779</v>
      </c>
      <c r="G21" s="373" t="s">
        <v>778</v>
      </c>
      <c r="H21" s="369"/>
      <c r="I21" s="369"/>
      <c r="J21" s="202" t="str">
        <f>"VFD HP = " &amp; FIXED(H22,6) &amp; " GPM^2 + " &amp; FIXED(H23,4) &amp; " GPM + " &amp; FIXED(H24,1)</f>
        <v>VFD HP = 0.000000 GPM^2 + 0.0000 GPM + 0.0</v>
      </c>
    </row>
    <row r="22" spans="1:14" ht="15.75">
      <c r="A22" s="315">
        <f>C14</f>
        <v>0.72499999999999998</v>
      </c>
      <c r="B22" s="207">
        <f>A14*($B$5/B14)^0.5</f>
        <v>0</v>
      </c>
      <c r="C22" s="401">
        <f>$B$5</f>
        <v>0</v>
      </c>
      <c r="D22" s="207">
        <f>($B$9*B22)/A14</f>
        <v>0</v>
      </c>
      <c r="E22" s="402">
        <f>(B22*C22)/(3960*A22)</f>
        <v>0</v>
      </c>
      <c r="F22" s="403">
        <f>H$22*B22^2+H$23*B22+H$24</f>
        <v>0</v>
      </c>
      <c r="G22" s="374" t="s">
        <v>774</v>
      </c>
      <c r="H22" s="371">
        <f>J23</f>
        <v>0</v>
      </c>
      <c r="I22" s="372"/>
      <c r="J22" s="428" t="s">
        <v>771</v>
      </c>
      <c r="K22" s="428" t="s">
        <v>772</v>
      </c>
      <c r="L22" s="428" t="s">
        <v>773</v>
      </c>
    </row>
    <row r="23" spans="1:14" ht="15.75">
      <c r="A23" s="315">
        <f t="shared" ref="A23:A25" si="1">C15</f>
        <v>0.72</v>
      </c>
      <c r="B23" s="207">
        <f t="shared" ref="B23:B25" si="2">A15*($B$5/B15)^0.5</f>
        <v>0</v>
      </c>
      <c r="C23" s="401">
        <f t="shared" ref="C23:C25" si="3">$B$5</f>
        <v>0</v>
      </c>
      <c r="D23" s="207">
        <f>($B$9*B23)/A15</f>
        <v>0</v>
      </c>
      <c r="E23" s="402">
        <f t="shared" ref="E23:E25" si="4">(B23*C23)/(3960*A23)</f>
        <v>0</v>
      </c>
      <c r="F23" s="403">
        <f t="shared" ref="F23:F25" si="5">H$22*B23^2+H$23*B23+H$24</f>
        <v>0</v>
      </c>
      <c r="G23" s="374" t="s">
        <v>775</v>
      </c>
      <c r="H23" s="371">
        <f>K23</f>
        <v>0</v>
      </c>
      <c r="I23" s="372"/>
      <c r="J23" s="194">
        <f t="array" ref="J23:L23">LINEST(E$22:E$25,B$22:B$25^{1,2})</f>
        <v>0</v>
      </c>
      <c r="K23" s="194">
        <v>0</v>
      </c>
      <c r="L23" s="194">
        <v>0</v>
      </c>
    </row>
    <row r="24" spans="1:14" ht="16.5" thickBot="1">
      <c r="A24" s="315">
        <f t="shared" si="1"/>
        <v>0.625</v>
      </c>
      <c r="B24" s="207">
        <f t="shared" si="2"/>
        <v>0</v>
      </c>
      <c r="C24" s="401">
        <f t="shared" si="3"/>
        <v>0</v>
      </c>
      <c r="D24" s="207">
        <f>($B$9*B24)/A16</f>
        <v>0</v>
      </c>
      <c r="E24" s="402">
        <f t="shared" si="4"/>
        <v>0</v>
      </c>
      <c r="F24" s="403">
        <f t="shared" si="5"/>
        <v>0</v>
      </c>
      <c r="G24" s="374" t="s">
        <v>776</v>
      </c>
      <c r="H24" s="371">
        <f>L23</f>
        <v>0</v>
      </c>
      <c r="I24" s="372"/>
      <c r="J24" s="410"/>
      <c r="K24" s="412" t="s">
        <v>838</v>
      </c>
      <c r="L24" s="412" t="s">
        <v>839</v>
      </c>
      <c r="M24" s="412" t="s">
        <v>840</v>
      </c>
      <c r="N24" s="412" t="s">
        <v>841</v>
      </c>
    </row>
    <row r="25" spans="1:14">
      <c r="A25" s="315">
        <f t="shared" si="1"/>
        <v>0.59499999999999997</v>
      </c>
      <c r="B25" s="207">
        <f t="shared" si="2"/>
        <v>0</v>
      </c>
      <c r="C25" s="401">
        <f t="shared" si="3"/>
        <v>0</v>
      </c>
      <c r="D25" s="207">
        <f>($B$9*B25)/A17</f>
        <v>0</v>
      </c>
      <c r="E25" s="402">
        <f t="shared" si="4"/>
        <v>0</v>
      </c>
      <c r="F25" s="403">
        <f t="shared" si="5"/>
        <v>0</v>
      </c>
      <c r="J25" s="411">
        <v>1</v>
      </c>
      <c r="K25" s="546" t="s">
        <v>837</v>
      </c>
      <c r="L25" s="547"/>
      <c r="M25" s="547"/>
      <c r="N25" s="416" t="s">
        <v>843</v>
      </c>
    </row>
    <row r="26" spans="1:14">
      <c r="J26" s="411">
        <v>2</v>
      </c>
      <c r="K26" s="407" t="s">
        <v>670</v>
      </c>
      <c r="L26" s="406" t="s">
        <v>671</v>
      </c>
      <c r="M26" s="334" t="s">
        <v>770</v>
      </c>
      <c r="N26" s="417" t="s">
        <v>844</v>
      </c>
    </row>
    <row r="27" spans="1:14" s="203" customFormat="1" ht="15" customHeight="1">
      <c r="A27" s="194"/>
      <c r="B27" s="194"/>
      <c r="C27" s="194"/>
      <c r="D27" s="194"/>
      <c r="E27" s="194"/>
      <c r="F27" s="194"/>
      <c r="G27" s="194"/>
      <c r="H27" s="194"/>
      <c r="I27" s="194"/>
      <c r="J27" s="411">
        <v>3</v>
      </c>
      <c r="K27" s="408">
        <v>400</v>
      </c>
      <c r="L27" s="409">
        <v>460</v>
      </c>
      <c r="M27" s="404">
        <v>0.72499999999999998</v>
      </c>
      <c r="N27" s="316">
        <f>(K27*L27)/(3960*M27)</f>
        <v>64.089167537443402</v>
      </c>
    </row>
    <row r="28" spans="1:14">
      <c r="A28" s="193"/>
      <c r="J28" s="411">
        <f>J27+1</f>
        <v>4</v>
      </c>
      <c r="K28" s="408">
        <v>300</v>
      </c>
      <c r="L28" s="409">
        <v>620</v>
      </c>
      <c r="M28" s="405">
        <v>0.72</v>
      </c>
      <c r="N28" s="316">
        <f>(K28*L28)/(3960*M28)</f>
        <v>65.235690235690242</v>
      </c>
    </row>
    <row r="29" spans="1:14">
      <c r="A29" s="203"/>
      <c r="B29" s="203"/>
      <c r="C29" s="203"/>
      <c r="D29" s="203"/>
      <c r="E29" s="203"/>
      <c r="F29" s="203"/>
      <c r="G29" s="203"/>
      <c r="H29" s="203"/>
      <c r="I29" s="203"/>
      <c r="J29" s="411">
        <f t="shared" ref="J29:J37" si="6">J28+1</f>
        <v>5</v>
      </c>
      <c r="K29" s="408">
        <v>200</v>
      </c>
      <c r="L29" s="409">
        <v>720</v>
      </c>
      <c r="M29" s="405">
        <v>0.625</v>
      </c>
      <c r="N29" s="316">
        <f>(K29*L29)/(3960*M29)</f>
        <v>58.18181818181818</v>
      </c>
    </row>
    <row r="30" spans="1:14">
      <c r="A30" s="197"/>
      <c r="B30" s="218"/>
      <c r="C30" s="215"/>
      <c r="D30" s="317"/>
      <c r="E30" s="216"/>
      <c r="J30" s="411">
        <f t="shared" si="6"/>
        <v>6</v>
      </c>
      <c r="K30" s="413">
        <v>180</v>
      </c>
      <c r="L30" s="414">
        <v>740</v>
      </c>
      <c r="M30" s="415">
        <v>0.59499999999999997</v>
      </c>
      <c r="N30" s="316">
        <f>(K30*L30)/(3960*M30)</f>
        <v>56.531703590527123</v>
      </c>
    </row>
    <row r="31" spans="1:14">
      <c r="A31" s="197"/>
      <c r="B31" s="218"/>
      <c r="C31" s="215"/>
      <c r="D31" s="317"/>
      <c r="E31" s="216"/>
      <c r="J31" s="411">
        <f t="shared" si="6"/>
        <v>7</v>
      </c>
      <c r="K31" s="334"/>
      <c r="L31" s="334"/>
      <c r="M31" s="334"/>
      <c r="N31" s="334"/>
    </row>
    <row r="32" spans="1:14">
      <c r="A32" s="197"/>
      <c r="B32" s="218"/>
      <c r="C32" s="215"/>
      <c r="D32" s="317"/>
      <c r="E32" s="216"/>
      <c r="F32" s="204"/>
      <c r="G32" s="208"/>
      <c r="J32" s="411">
        <f t="shared" si="6"/>
        <v>8</v>
      </c>
      <c r="K32" s="418" t="s">
        <v>845</v>
      </c>
      <c r="L32" s="334"/>
      <c r="M32" s="334"/>
      <c r="N32" s="334"/>
    </row>
    <row r="33" spans="1:14">
      <c r="A33" s="197"/>
      <c r="B33" s="218"/>
      <c r="C33" s="215"/>
      <c r="D33" s="317"/>
      <c r="E33" s="216"/>
      <c r="J33" s="411">
        <f t="shared" si="6"/>
        <v>9</v>
      </c>
      <c r="K33" s="334"/>
      <c r="L33" s="334"/>
      <c r="M33" s="334"/>
      <c r="N33" s="334"/>
    </row>
    <row r="34" spans="1:14">
      <c r="J34" s="411">
        <f t="shared" si="6"/>
        <v>10</v>
      </c>
      <c r="K34" s="418" t="s">
        <v>846</v>
      </c>
      <c r="L34" s="334"/>
      <c r="M34" s="334"/>
      <c r="N34" s="334"/>
    </row>
    <row r="35" spans="1:14">
      <c r="J35" s="411">
        <f t="shared" si="6"/>
        <v>11</v>
      </c>
      <c r="K35" s="548" t="s">
        <v>842</v>
      </c>
      <c r="L35" s="548"/>
      <c r="M35" s="548"/>
      <c r="N35" s="334"/>
    </row>
    <row r="36" spans="1:14" ht="15.75" thickBot="1">
      <c r="J36" s="411">
        <f t="shared" si="6"/>
        <v>12</v>
      </c>
      <c r="K36" s="420" t="s">
        <v>771</v>
      </c>
      <c r="L36" s="420" t="s">
        <v>772</v>
      </c>
      <c r="M36" s="420" t="s">
        <v>773</v>
      </c>
      <c r="N36" s="334"/>
    </row>
    <row r="37" spans="1:14" ht="16.5" thickTop="1" thickBot="1">
      <c r="J37" s="411">
        <f t="shared" si="6"/>
        <v>13</v>
      </c>
      <c r="K37" s="421" t="str">
        <f>"=LINEST($D$3:$D$3,$A$3:$A$6^{1,2})"</f>
        <v>=LINEST($D$3:$D$3,$A$3:$A$6^{1,2})</v>
      </c>
      <c r="L37" s="422"/>
      <c r="M37" s="423"/>
      <c r="N37" s="419"/>
    </row>
    <row r="38" spans="1:14" ht="15.75" thickTop="1">
      <c r="J38" s="426" t="s">
        <v>847</v>
      </c>
    </row>
    <row r="39" spans="1:14">
      <c r="J39" s="427" t="s">
        <v>848</v>
      </c>
    </row>
    <row r="40" spans="1:14">
      <c r="J40" s="427" t="s">
        <v>849</v>
      </c>
    </row>
    <row r="41" spans="1:14">
      <c r="J41" s="428" t="s">
        <v>850</v>
      </c>
    </row>
    <row r="42" spans="1:14" ht="15.75" thickBot="1">
      <c r="J42" s="428" t="s">
        <v>851</v>
      </c>
    </row>
    <row r="43" spans="1:14" ht="45.75" thickBot="1">
      <c r="A43" s="385" t="s">
        <v>675</v>
      </c>
      <c r="B43" s="386" t="s">
        <v>676</v>
      </c>
      <c r="C43" s="386" t="s">
        <v>677</v>
      </c>
      <c r="D43" s="387" t="str">
        <f>D13</f>
        <v>Fixed Speed HP</v>
      </c>
      <c r="E43" s="387" t="str">
        <f>E21</f>
        <v>Fixed Head w/ VFD HP</v>
      </c>
      <c r="F43" s="386" t="s">
        <v>678</v>
      </c>
      <c r="G43" s="386" t="s">
        <v>679</v>
      </c>
      <c r="H43" s="388" t="s">
        <v>680</v>
      </c>
      <c r="I43" s="369"/>
      <c r="J43" s="429" t="s">
        <v>852</v>
      </c>
    </row>
    <row r="44" spans="1:14">
      <c r="A44" s="398">
        <f>'VFD Application'!A24</f>
        <v>0</v>
      </c>
      <c r="B44" s="389" t="s">
        <v>783</v>
      </c>
      <c r="C44" s="389" t="s">
        <v>786</v>
      </c>
      <c r="D44" s="390" t="s">
        <v>786</v>
      </c>
      <c r="E44" s="390" t="s">
        <v>786</v>
      </c>
      <c r="F44" s="389" t="s">
        <v>786</v>
      </c>
      <c r="G44" s="389" t="s">
        <v>786</v>
      </c>
      <c r="H44" s="391" t="s">
        <v>786</v>
      </c>
      <c r="I44" s="369"/>
    </row>
    <row r="45" spans="1:14">
      <c r="A45" s="399">
        <f>'VFD Application'!B24</f>
        <v>0</v>
      </c>
      <c r="B45" s="315">
        <v>0</v>
      </c>
      <c r="C45" s="334">
        <f>B45*'VFD Application'!$G$19</f>
        <v>0</v>
      </c>
      <c r="D45" s="335">
        <f>IF(OR('VFD Application'!$AB$10='VFD Application'!$AB$5,'VFD Application'!$AB$10='VFD Application'!$AB$6),G$14*$C$55^2 +G$15*$C$55+G$16,G$14*C45^2 +G$15*C45+G$16)</f>
        <v>22.451314722443463</v>
      </c>
      <c r="E45" s="395">
        <f>IF(H$22*C45^2+H$23*C45+H$24&gt;D45,D45,H$22*C45^2+H$23*C45+H$24)</f>
        <v>0</v>
      </c>
      <c r="F45" s="335">
        <f t="shared" ref="F45:F55" si="7">D45-E45</f>
        <v>22.451314722443463</v>
      </c>
      <c r="G45" s="336">
        <f t="shared" ref="G45:G55" si="8">$A45*$B$8*F45*0.745/$B$4</f>
        <v>0</v>
      </c>
      <c r="H45" s="379">
        <f>$A45*$B$8*$D45*0.745/$B$4</f>
        <v>0</v>
      </c>
    </row>
    <row r="46" spans="1:14">
      <c r="A46" s="399">
        <f>'VFD Application'!C24</f>
        <v>0</v>
      </c>
      <c r="B46" s="315">
        <f>B45+0.1</f>
        <v>0.1</v>
      </c>
      <c r="C46" s="334">
        <f>B46*'VFD Application'!$G$19</f>
        <v>0</v>
      </c>
      <c r="D46" s="335">
        <f>IF(OR('VFD Application'!$AB$10='VFD Application'!$AB$5,'VFD Application'!$AB$10='VFD Application'!$AB$6),G$14*$C$55^2 +G$15*$C$55+G$16,G$14*C46^2 +G$15*C46+G$16)</f>
        <v>22.451314722443463</v>
      </c>
      <c r="E46" s="395">
        <f t="shared" ref="E46:E55" si="9">IF(H$22*C46^2+H$23*C46+H$24&gt;D46,D46,H$22*C46^2+H$23*C46+H$24)</f>
        <v>0</v>
      </c>
      <c r="F46" s="335">
        <f t="shared" si="7"/>
        <v>22.451314722443463</v>
      </c>
      <c r="G46" s="336">
        <f t="shared" si="8"/>
        <v>0</v>
      </c>
      <c r="H46" s="379">
        <f t="shared" ref="H46:H55" si="10">$A46*$B$8*$D46*0.745/$B$4</f>
        <v>0</v>
      </c>
    </row>
    <row r="47" spans="1:14">
      <c r="A47" s="399">
        <f>'VFD Application'!D$24</f>
        <v>0</v>
      </c>
      <c r="B47" s="315">
        <f t="shared" ref="B47:B55" si="11">B46+0.1</f>
        <v>0.2</v>
      </c>
      <c r="C47" s="334">
        <f>B47*'VFD Application'!$G$19</f>
        <v>0</v>
      </c>
      <c r="D47" s="335">
        <f>IF(OR('VFD Application'!$AB$10='VFD Application'!$AB$5,'VFD Application'!$AB$10='VFD Application'!$AB$6),G$14*$C$55^2 +G$15*$C$55+G$16,G$14*C47^2 +G$15*C47+G$16)</f>
        <v>22.451314722443463</v>
      </c>
      <c r="E47" s="395">
        <f t="shared" si="9"/>
        <v>0</v>
      </c>
      <c r="F47" s="335">
        <f t="shared" si="7"/>
        <v>22.451314722443463</v>
      </c>
      <c r="G47" s="336">
        <f t="shared" si="8"/>
        <v>0</v>
      </c>
      <c r="H47" s="379">
        <f t="shared" si="10"/>
        <v>0</v>
      </c>
    </row>
    <row r="48" spans="1:14">
      <c r="A48" s="399">
        <f>'VFD Application'!E$24</f>
        <v>0</v>
      </c>
      <c r="B48" s="315">
        <f t="shared" si="11"/>
        <v>0.30000000000000004</v>
      </c>
      <c r="C48" s="334">
        <f>B48*'VFD Application'!$G$19</f>
        <v>0</v>
      </c>
      <c r="D48" s="335">
        <f>IF(OR('VFD Application'!$AB$10='VFD Application'!$AB$5,'VFD Application'!$AB$10='VFD Application'!$AB$6),G$14*$C$55^2 +G$15*$C$55+G$16,G$14*C48^2 +G$15*C48+G$16)</f>
        <v>22.451314722443463</v>
      </c>
      <c r="E48" s="395">
        <f t="shared" si="9"/>
        <v>0</v>
      </c>
      <c r="F48" s="335">
        <f t="shared" si="7"/>
        <v>22.451314722443463</v>
      </c>
      <c r="G48" s="336">
        <f t="shared" si="8"/>
        <v>0</v>
      </c>
      <c r="H48" s="379">
        <f t="shared" si="10"/>
        <v>0</v>
      </c>
    </row>
    <row r="49" spans="1:28">
      <c r="A49" s="399">
        <f>'VFD Application'!F$24</f>
        <v>0</v>
      </c>
      <c r="B49" s="315">
        <f t="shared" si="11"/>
        <v>0.4</v>
      </c>
      <c r="C49" s="334">
        <f>B49*'VFD Application'!$G$19</f>
        <v>0</v>
      </c>
      <c r="D49" s="335">
        <f>IF(OR('VFD Application'!$AB$10='VFD Application'!$AB$5,'VFD Application'!$AB$10='VFD Application'!$AB$6),G$14*$C$55^2 +G$15*$C$55+G$16,G$14*C49^2 +G$15*C49+G$16)</f>
        <v>22.451314722443463</v>
      </c>
      <c r="E49" s="395">
        <f t="shared" si="9"/>
        <v>0</v>
      </c>
      <c r="F49" s="335">
        <f t="shared" si="7"/>
        <v>22.451314722443463</v>
      </c>
      <c r="G49" s="336">
        <f t="shared" si="8"/>
        <v>0</v>
      </c>
      <c r="H49" s="379">
        <f t="shared" si="10"/>
        <v>0</v>
      </c>
    </row>
    <row r="50" spans="1:28">
      <c r="A50" s="399">
        <f>'VFD Application'!G$24</f>
        <v>0</v>
      </c>
      <c r="B50" s="315">
        <f t="shared" si="11"/>
        <v>0.5</v>
      </c>
      <c r="C50" s="334">
        <f>B50*'VFD Application'!$G$19</f>
        <v>0</v>
      </c>
      <c r="D50" s="335">
        <f>IF(OR('VFD Application'!$AB$10='VFD Application'!$AB$5,'VFD Application'!$AB$10='VFD Application'!$AB$6),G$14*$C$55^2 +G$15*$C$55+G$16,G$14*C50^2 +G$15*C50+G$16)</f>
        <v>22.451314722443463</v>
      </c>
      <c r="E50" s="395">
        <f t="shared" si="9"/>
        <v>0</v>
      </c>
      <c r="F50" s="335">
        <f t="shared" si="7"/>
        <v>22.451314722443463</v>
      </c>
      <c r="G50" s="336">
        <f t="shared" si="8"/>
        <v>0</v>
      </c>
      <c r="H50" s="379">
        <f t="shared" si="10"/>
        <v>0</v>
      </c>
    </row>
    <row r="51" spans="1:28">
      <c r="A51" s="399">
        <f>'VFD Application'!H$24</f>
        <v>0</v>
      </c>
      <c r="B51" s="315">
        <f t="shared" si="11"/>
        <v>0.6</v>
      </c>
      <c r="C51" s="334">
        <f>B51*'VFD Application'!$G$19</f>
        <v>0</v>
      </c>
      <c r="D51" s="335">
        <f>IF(OR('VFD Application'!$AB$10='VFD Application'!$AB$5,'VFD Application'!$AB$10='VFD Application'!$AB$6),G$14*$C$55^2 +G$15*$C$55+G$16,G$14*C51^2 +G$15*C51+G$16)</f>
        <v>22.451314722443463</v>
      </c>
      <c r="E51" s="395">
        <f t="shared" si="9"/>
        <v>0</v>
      </c>
      <c r="F51" s="335">
        <f t="shared" si="7"/>
        <v>22.451314722443463</v>
      </c>
      <c r="G51" s="336">
        <f t="shared" si="8"/>
        <v>0</v>
      </c>
      <c r="H51" s="379">
        <f t="shared" si="10"/>
        <v>0</v>
      </c>
    </row>
    <row r="52" spans="1:28">
      <c r="A52" s="399">
        <f>'VFD Application'!I$24</f>
        <v>0</v>
      </c>
      <c r="B52" s="315">
        <f t="shared" si="11"/>
        <v>0.7</v>
      </c>
      <c r="C52" s="334">
        <f>B52*'VFD Application'!$G$19</f>
        <v>0</v>
      </c>
      <c r="D52" s="335">
        <f>IF(OR('VFD Application'!$AB$10='VFD Application'!$AB$5,'VFD Application'!$AB$10='VFD Application'!$AB$6),G$14*$C$55^2 +G$15*$C$55+G$16,G$14*C52^2 +G$15*C52+G$16)</f>
        <v>22.451314722443463</v>
      </c>
      <c r="E52" s="395">
        <f t="shared" si="9"/>
        <v>0</v>
      </c>
      <c r="F52" s="335">
        <f t="shared" si="7"/>
        <v>22.451314722443463</v>
      </c>
      <c r="G52" s="336">
        <f t="shared" si="8"/>
        <v>0</v>
      </c>
      <c r="H52" s="379">
        <f t="shared" si="10"/>
        <v>0</v>
      </c>
    </row>
    <row r="53" spans="1:28">
      <c r="A53" s="399">
        <f>'VFD Application'!J$24</f>
        <v>0</v>
      </c>
      <c r="B53" s="315">
        <f t="shared" si="11"/>
        <v>0.79999999999999993</v>
      </c>
      <c r="C53" s="334">
        <f>B53*'VFD Application'!$G$19</f>
        <v>0</v>
      </c>
      <c r="D53" s="335">
        <f>IF(OR('VFD Application'!$AB$10='VFD Application'!$AB$5,'VFD Application'!$AB$10='VFD Application'!$AB$6),G$14*$C$55^2 +G$15*$C$55+G$16,G$14*C53^2 +G$15*C53+G$16)</f>
        <v>22.451314722443463</v>
      </c>
      <c r="E53" s="395">
        <f t="shared" si="9"/>
        <v>0</v>
      </c>
      <c r="F53" s="335">
        <f t="shared" si="7"/>
        <v>22.451314722443463</v>
      </c>
      <c r="G53" s="336">
        <f t="shared" si="8"/>
        <v>0</v>
      </c>
      <c r="H53" s="379">
        <f t="shared" si="10"/>
        <v>0</v>
      </c>
    </row>
    <row r="54" spans="1:28">
      <c r="A54" s="399">
        <f>'VFD Application'!K$24</f>
        <v>0</v>
      </c>
      <c r="B54" s="315">
        <f t="shared" si="11"/>
        <v>0.89999999999999991</v>
      </c>
      <c r="C54" s="334">
        <f>B54*'VFD Application'!$G$19</f>
        <v>0</v>
      </c>
      <c r="D54" s="335">
        <f>IF(OR('VFD Application'!$AB$10='VFD Application'!$AB$5,'VFD Application'!$AB$10='VFD Application'!$AB$6),G$14*$C$55^2 +G$15*$C$55+G$16,G$14*C54^2 +G$15*C54+G$16)</f>
        <v>22.451314722443463</v>
      </c>
      <c r="E54" s="395">
        <f t="shared" si="9"/>
        <v>0</v>
      </c>
      <c r="F54" s="335">
        <f t="shared" si="7"/>
        <v>22.451314722443463</v>
      </c>
      <c r="G54" s="336">
        <f t="shared" si="8"/>
        <v>0</v>
      </c>
      <c r="H54" s="379">
        <f t="shared" si="10"/>
        <v>0</v>
      </c>
    </row>
    <row r="55" spans="1:28" ht="15" customHeight="1" thickBot="1">
      <c r="A55" s="400">
        <f>'VFD Application'!L$24</f>
        <v>0</v>
      </c>
      <c r="B55" s="380">
        <f t="shared" si="11"/>
        <v>0.99999999999999989</v>
      </c>
      <c r="C55" s="381">
        <f>B55*'VFD Application'!$G$19</f>
        <v>0</v>
      </c>
      <c r="D55" s="382">
        <f>IF(OR('VFD Application'!$AB$10='VFD Application'!$AB$5,'VFD Application'!$AB$10='VFD Application'!$AB$6),G$14*$C$55^2 +G$15*$C$55+G$16,G$14*C55^2 +G$15*C55+G$16)</f>
        <v>22.451314722443463</v>
      </c>
      <c r="E55" s="396">
        <f t="shared" si="9"/>
        <v>0</v>
      </c>
      <c r="F55" s="382">
        <f t="shared" si="7"/>
        <v>22.451314722443463</v>
      </c>
      <c r="G55" s="383">
        <f t="shared" si="8"/>
        <v>0</v>
      </c>
      <c r="H55" s="384">
        <f t="shared" si="10"/>
        <v>0</v>
      </c>
      <c r="O55" s="212"/>
      <c r="P55" s="424"/>
      <c r="Q55" s="424"/>
      <c r="R55" s="424"/>
      <c r="S55" s="424"/>
      <c r="T55" s="424"/>
      <c r="U55" s="424"/>
      <c r="V55" s="424"/>
      <c r="W55" s="424"/>
      <c r="X55" s="424"/>
      <c r="Y55" s="424"/>
      <c r="Z55" s="424"/>
      <c r="AA55" s="424"/>
      <c r="AB55" s="210"/>
    </row>
    <row r="56" spans="1:28" ht="15" customHeight="1">
      <c r="A56" s="211">
        <f>SUM(A44:A55)</f>
        <v>0</v>
      </c>
      <c r="G56" s="192">
        <f>SUM(G45:G55)</f>
        <v>0</v>
      </c>
      <c r="H56" s="393">
        <f>SUM(H45:H55)</f>
        <v>0</v>
      </c>
      <c r="I56" s="191"/>
      <c r="O56" s="212"/>
      <c r="P56" s="425"/>
      <c r="Q56" s="424"/>
      <c r="R56" s="424"/>
      <c r="S56" s="424"/>
      <c r="T56" s="424"/>
      <c r="U56" s="424"/>
      <c r="V56" s="424"/>
      <c r="W56" s="424"/>
      <c r="X56" s="424"/>
      <c r="Y56" s="424"/>
      <c r="Z56" s="424"/>
      <c r="AA56" s="424"/>
      <c r="AB56" s="197"/>
    </row>
    <row r="57" spans="1:28" ht="15" customHeight="1" thickBot="1">
      <c r="G57" s="392" t="e">
        <f>G56/$H56</f>
        <v>#DIV/0!</v>
      </c>
      <c r="H57" s="190" t="s">
        <v>681</v>
      </c>
      <c r="I57" s="190"/>
      <c r="O57" s="212"/>
      <c r="P57" s="425"/>
      <c r="Q57" s="197"/>
      <c r="R57" s="197"/>
      <c r="S57" s="197"/>
      <c r="T57" s="197"/>
      <c r="U57" s="197"/>
      <c r="V57" s="197"/>
      <c r="W57" s="197"/>
      <c r="X57" s="197"/>
      <c r="Y57" s="197"/>
      <c r="Z57" s="197"/>
      <c r="AA57" s="197"/>
      <c r="AB57" s="197"/>
    </row>
    <row r="58" spans="1:28" ht="15.75" thickBot="1">
      <c r="G58" s="319" t="e">
        <f>G56/'VFD Application'!$G$18</f>
        <v>#DIV/0!</v>
      </c>
      <c r="H58" s="190" t="s">
        <v>682</v>
      </c>
      <c r="O58" s="197"/>
      <c r="P58" s="197"/>
      <c r="Q58" s="197"/>
      <c r="R58" s="197"/>
      <c r="S58" s="197"/>
      <c r="T58" s="197"/>
      <c r="U58" s="197"/>
      <c r="V58" s="197"/>
      <c r="W58" s="197"/>
      <c r="X58" s="197"/>
      <c r="Y58" s="197"/>
      <c r="Z58" s="197"/>
      <c r="AA58" s="197"/>
      <c r="AB58" s="197"/>
    </row>
    <row r="77" spans="1:10" ht="15.75" thickBot="1">
      <c r="A77" s="190" t="s">
        <v>727</v>
      </c>
    </row>
    <row r="78" spans="1:10">
      <c r="A78" s="268"/>
      <c r="B78" s="269"/>
      <c r="C78" s="269"/>
      <c r="D78" s="298"/>
      <c r="E78" s="377" t="s">
        <v>717</v>
      </c>
      <c r="F78" s="377" t="s">
        <v>723</v>
      </c>
      <c r="G78" s="200"/>
      <c r="H78" s="200"/>
      <c r="I78" s="201"/>
    </row>
    <row r="79" spans="1:10">
      <c r="A79" s="271"/>
      <c r="B79" s="272"/>
      <c r="C79" s="272"/>
      <c r="D79" s="352" t="s">
        <v>24</v>
      </c>
      <c r="E79" s="352" t="s">
        <v>718</v>
      </c>
      <c r="F79" s="378" t="s">
        <v>724</v>
      </c>
      <c r="G79" s="202"/>
      <c r="H79" s="197"/>
      <c r="I79" s="339"/>
      <c r="J79" s="197"/>
    </row>
    <row r="80" spans="1:10">
      <c r="A80" s="552" t="s">
        <v>781</v>
      </c>
      <c r="B80" s="553"/>
      <c r="C80" s="553"/>
      <c r="D80" s="358">
        <f>'VFD Application'!T20</f>
        <v>0</v>
      </c>
      <c r="E80" s="359">
        <f>'VFD Application'!U20</f>
        <v>0</v>
      </c>
      <c r="F80" s="360" t="e">
        <f>'VFD Application'!V20</f>
        <v>#DIV/0!</v>
      </c>
      <c r="G80" s="202"/>
      <c r="H80" s="212"/>
      <c r="I80" s="340"/>
      <c r="J80" s="212"/>
    </row>
    <row r="81" spans="1:10">
      <c r="A81" s="552" t="s">
        <v>782</v>
      </c>
      <c r="B81" s="553"/>
      <c r="C81" s="553"/>
      <c r="D81" s="358">
        <f>'VFD Application'!T21</f>
        <v>0</v>
      </c>
      <c r="E81" s="359">
        <f>'VFD Application'!U21</f>
        <v>0</v>
      </c>
      <c r="F81" s="360" t="e">
        <f>'VFD Application'!V21</f>
        <v>#DIV/0!</v>
      </c>
      <c r="G81" s="202"/>
      <c r="H81" s="214"/>
      <c r="I81" s="342"/>
      <c r="J81" s="215"/>
    </row>
    <row r="82" spans="1:10">
      <c r="A82" s="397"/>
      <c r="B82" s="351"/>
      <c r="C82" s="437" t="s">
        <v>856</v>
      </c>
      <c r="D82" s="358"/>
      <c r="E82" s="359"/>
      <c r="F82" s="360"/>
      <c r="G82" s="202"/>
      <c r="H82" s="214"/>
      <c r="I82" s="342"/>
      <c r="J82" s="215"/>
    </row>
    <row r="83" spans="1:10">
      <c r="A83" s="552" t="s">
        <v>720</v>
      </c>
      <c r="B83" s="553"/>
      <c r="C83" s="553"/>
      <c r="D83" s="359">
        <f>'VFD Application'!T23</f>
        <v>0</v>
      </c>
      <c r="E83" s="217"/>
      <c r="F83" s="376" t="s">
        <v>780</v>
      </c>
      <c r="G83" s="214"/>
      <c r="H83" s="214"/>
      <c r="I83" s="342"/>
      <c r="J83" s="215"/>
    </row>
    <row r="84" spans="1:10">
      <c r="A84" s="552" t="s">
        <v>721</v>
      </c>
      <c r="B84" s="553"/>
      <c r="C84" s="553"/>
      <c r="D84" s="359" t="e">
        <f>'VFD Application'!T24</f>
        <v>#DIV/0!</v>
      </c>
      <c r="E84" s="217"/>
      <c r="F84" s="217"/>
      <c r="G84" s="214"/>
      <c r="H84" s="214"/>
      <c r="I84" s="342"/>
      <c r="J84" s="215"/>
    </row>
    <row r="85" spans="1:10" ht="15.75" thickBot="1">
      <c r="A85" s="554" t="s">
        <v>722</v>
      </c>
      <c r="B85" s="555"/>
      <c r="C85" s="555"/>
      <c r="D85" s="364" t="e">
        <f>'VFD Application'!T25</f>
        <v>#DIV/0!</v>
      </c>
      <c r="E85" s="347"/>
      <c r="F85" s="347"/>
      <c r="G85" s="348"/>
      <c r="H85" s="348"/>
      <c r="I85" s="349"/>
      <c r="J85" s="215"/>
    </row>
    <row r="86" spans="1:10">
      <c r="A86" s="341"/>
      <c r="B86" s="210"/>
      <c r="C86" s="197"/>
      <c r="D86" s="213"/>
      <c r="E86" s="217"/>
      <c r="F86" s="217"/>
      <c r="G86" s="214"/>
      <c r="H86" s="214"/>
      <c r="I86" s="342"/>
      <c r="J86" s="215"/>
    </row>
    <row r="87" spans="1:10">
      <c r="A87" s="341"/>
      <c r="B87" s="210"/>
      <c r="C87" s="197"/>
      <c r="D87" s="213"/>
      <c r="E87" s="217"/>
      <c r="F87" s="217"/>
      <c r="G87" s="214"/>
      <c r="H87" s="214"/>
      <c r="I87" s="342"/>
      <c r="J87" s="215"/>
    </row>
    <row r="88" spans="1:10" ht="15.75" thickBot="1">
      <c r="A88" s="343"/>
      <c r="B88" s="344"/>
      <c r="C88" s="345"/>
      <c r="D88" s="346"/>
      <c r="E88" s="347"/>
      <c r="F88" s="347"/>
      <c r="G88" s="348"/>
      <c r="H88" s="348"/>
      <c r="I88" s="349"/>
      <c r="J88" s="215"/>
    </row>
    <row r="89" spans="1:10">
      <c r="A89" s="210"/>
      <c r="B89" s="210"/>
      <c r="C89" s="197"/>
      <c r="D89" s="213"/>
      <c r="E89" s="217"/>
      <c r="F89" s="217"/>
      <c r="G89" s="214"/>
      <c r="H89" s="214"/>
      <c r="I89" s="215"/>
      <c r="J89" s="215"/>
    </row>
    <row r="90" spans="1:10">
      <c r="A90" s="210"/>
      <c r="B90" s="210"/>
      <c r="C90" s="197"/>
      <c r="D90" s="213"/>
      <c r="E90" s="217"/>
      <c r="F90" s="217"/>
      <c r="G90" s="214"/>
      <c r="H90" s="214"/>
      <c r="I90" s="215"/>
      <c r="J90" s="215"/>
    </row>
    <row r="91" spans="1:10">
      <c r="A91" s="210"/>
      <c r="B91" s="210"/>
      <c r="C91" s="197"/>
      <c r="D91" s="213"/>
      <c r="E91" s="218"/>
      <c r="F91" s="218"/>
      <c r="G91" s="214"/>
      <c r="H91" s="214"/>
      <c r="I91" s="215"/>
      <c r="J91" s="215"/>
    </row>
    <row r="92" spans="1:10">
      <c r="A92" s="197"/>
      <c r="B92" s="197"/>
      <c r="C92" s="197"/>
      <c r="D92" s="197"/>
      <c r="E92" s="197"/>
      <c r="F92" s="197"/>
      <c r="G92" s="197"/>
      <c r="H92" s="197"/>
      <c r="I92" s="197"/>
      <c r="J92" s="197"/>
    </row>
    <row r="93" spans="1:10">
      <c r="A93" s="210"/>
      <c r="B93" s="197"/>
      <c r="C93" s="197"/>
      <c r="D93" s="197"/>
      <c r="E93" s="197"/>
      <c r="F93" s="197"/>
      <c r="G93" s="197"/>
      <c r="H93" s="197"/>
      <c r="I93" s="189"/>
      <c r="J93" s="189"/>
    </row>
    <row r="94" spans="1:10">
      <c r="A94" s="197"/>
      <c r="B94" s="197"/>
      <c r="C94" s="197"/>
      <c r="D94" s="197"/>
      <c r="E94" s="197"/>
      <c r="F94" s="197"/>
      <c r="G94" s="197"/>
      <c r="H94" s="197"/>
      <c r="I94" s="188"/>
      <c r="J94" s="188"/>
    </row>
    <row r="95" spans="1:10">
      <c r="A95" s="197"/>
      <c r="B95" s="197"/>
      <c r="C95" s="197"/>
      <c r="D95" s="197"/>
      <c r="E95" s="197"/>
      <c r="F95" s="197"/>
      <c r="G95" s="197"/>
      <c r="H95" s="197"/>
      <c r="I95" s="187"/>
      <c r="J95" s="187"/>
    </row>
    <row r="96" spans="1:10">
      <c r="A96" s="197"/>
      <c r="B96" s="197"/>
      <c r="C96" s="197"/>
      <c r="D96" s="197"/>
      <c r="E96" s="197"/>
      <c r="F96" s="197"/>
      <c r="G96" s="197"/>
      <c r="H96" s="197"/>
      <c r="I96" s="197"/>
      <c r="J96" s="197"/>
    </row>
  </sheetData>
  <mergeCells count="10">
    <mergeCell ref="A85:C85"/>
    <mergeCell ref="A1:I1"/>
    <mergeCell ref="A80:C80"/>
    <mergeCell ref="A81:C81"/>
    <mergeCell ref="A83:C83"/>
    <mergeCell ref="K25:M25"/>
    <mergeCell ref="K35:M35"/>
    <mergeCell ref="B10:C10"/>
    <mergeCell ref="F6:I8"/>
    <mergeCell ref="A84:C84"/>
  </mergeCells>
  <conditionalFormatting sqref="A56 AB55">
    <cfRule type="cellIs" dxfId="17" priority="4" operator="greaterThan">
      <formula>1</formula>
    </cfRule>
    <cfRule type="cellIs" dxfId="16" priority="5" operator="equal">
      <formula>1</formula>
    </cfRule>
    <cfRule type="cellIs" dxfId="15" priority="6" operator="lessThan">
      <formula>1</formula>
    </cfRule>
  </conditionalFormatting>
  <pageMargins left="0.7" right="0.43"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6"/>
  <dimension ref="A1:O53"/>
  <sheetViews>
    <sheetView workbookViewId="0">
      <pane ySplit="2" topLeftCell="A3" activePane="bottomLeft" state="frozen"/>
      <selection activeCell="P18" sqref="P18"/>
      <selection pane="bottomLeft" activeCell="A3" sqref="A3"/>
    </sheetView>
  </sheetViews>
  <sheetFormatPr defaultColWidth="9" defaultRowHeight="15"/>
  <cols>
    <col min="1" max="3" width="11.75" style="235" customWidth="1"/>
    <col min="4" max="4" width="4.75" style="235" customWidth="1"/>
    <col min="5" max="7" width="10.625" style="235" customWidth="1"/>
    <col min="8" max="8" width="14.125" style="235" customWidth="1"/>
    <col min="9" max="9" width="16.5" style="235" customWidth="1"/>
    <col min="10" max="10" width="14.125" style="235" customWidth="1"/>
    <col min="11" max="11" width="9.5" style="235" customWidth="1"/>
    <col min="12" max="12" width="7.125" style="235" customWidth="1"/>
    <col min="13" max="13" width="13.25" style="235" bestFit="1" customWidth="1"/>
    <col min="14" max="256" width="9" style="235"/>
    <col min="257" max="259" width="11.75" style="235" customWidth="1"/>
    <col min="260" max="260" width="4.75" style="235" customWidth="1"/>
    <col min="261" max="263" width="10.625" style="235" customWidth="1"/>
    <col min="264" max="264" width="14.125" style="235" customWidth="1"/>
    <col min="265" max="265" width="16.5" style="235" customWidth="1"/>
    <col min="266" max="266" width="14.125" style="235" customWidth="1"/>
    <col min="267" max="267" width="9.5" style="235" customWidth="1"/>
    <col min="268" max="268" width="7.125" style="235" customWidth="1"/>
    <col min="269" max="512" width="9" style="235"/>
    <col min="513" max="515" width="11.75" style="235" customWidth="1"/>
    <col min="516" max="516" width="4.75" style="235" customWidth="1"/>
    <col min="517" max="519" width="10.625" style="235" customWidth="1"/>
    <col min="520" max="520" width="14.125" style="235" customWidth="1"/>
    <col min="521" max="521" width="16.5" style="235" customWidth="1"/>
    <col min="522" max="522" width="14.125" style="235" customWidth="1"/>
    <col min="523" max="523" width="9.5" style="235" customWidth="1"/>
    <col min="524" max="524" width="7.125" style="235" customWidth="1"/>
    <col min="525" max="768" width="9" style="235"/>
    <col min="769" max="771" width="11.75" style="235" customWidth="1"/>
    <col min="772" max="772" width="4.75" style="235" customWidth="1"/>
    <col min="773" max="775" width="10.625" style="235" customWidth="1"/>
    <col min="776" max="776" width="14.125" style="235" customWidth="1"/>
    <col min="777" max="777" width="16.5" style="235" customWidth="1"/>
    <col min="778" max="778" width="14.125" style="235" customWidth="1"/>
    <col min="779" max="779" width="9.5" style="235" customWidth="1"/>
    <col min="780" max="780" width="7.125" style="235" customWidth="1"/>
    <col min="781" max="1024" width="9" style="235"/>
    <col min="1025" max="1027" width="11.75" style="235" customWidth="1"/>
    <col min="1028" max="1028" width="4.75" style="235" customWidth="1"/>
    <col min="1029" max="1031" width="10.625" style="235" customWidth="1"/>
    <col min="1032" max="1032" width="14.125" style="235" customWidth="1"/>
    <col min="1033" max="1033" width="16.5" style="235" customWidth="1"/>
    <col min="1034" max="1034" width="14.125" style="235" customWidth="1"/>
    <col min="1035" max="1035" width="9.5" style="235" customWidth="1"/>
    <col min="1036" max="1036" width="7.125" style="235" customWidth="1"/>
    <col min="1037" max="1280" width="9" style="235"/>
    <col min="1281" max="1283" width="11.75" style="235" customWidth="1"/>
    <col min="1284" max="1284" width="4.75" style="235" customWidth="1"/>
    <col min="1285" max="1287" width="10.625" style="235" customWidth="1"/>
    <col min="1288" max="1288" width="14.125" style="235" customWidth="1"/>
    <col min="1289" max="1289" width="16.5" style="235" customWidth="1"/>
    <col min="1290" max="1290" width="14.125" style="235" customWidth="1"/>
    <col min="1291" max="1291" width="9.5" style="235" customWidth="1"/>
    <col min="1292" max="1292" width="7.125" style="235" customWidth="1"/>
    <col min="1293" max="1536" width="9" style="235"/>
    <col min="1537" max="1539" width="11.75" style="235" customWidth="1"/>
    <col min="1540" max="1540" width="4.75" style="235" customWidth="1"/>
    <col min="1541" max="1543" width="10.625" style="235" customWidth="1"/>
    <col min="1544" max="1544" width="14.125" style="235" customWidth="1"/>
    <col min="1545" max="1545" width="16.5" style="235" customWidth="1"/>
    <col min="1546" max="1546" width="14.125" style="235" customWidth="1"/>
    <col min="1547" max="1547" width="9.5" style="235" customWidth="1"/>
    <col min="1548" max="1548" width="7.125" style="235" customWidth="1"/>
    <col min="1549" max="1792" width="9" style="235"/>
    <col min="1793" max="1795" width="11.75" style="235" customWidth="1"/>
    <col min="1796" max="1796" width="4.75" style="235" customWidth="1"/>
    <col min="1797" max="1799" width="10.625" style="235" customWidth="1"/>
    <col min="1800" max="1800" width="14.125" style="235" customWidth="1"/>
    <col min="1801" max="1801" width="16.5" style="235" customWidth="1"/>
    <col min="1802" max="1802" width="14.125" style="235" customWidth="1"/>
    <col min="1803" max="1803" width="9.5" style="235" customWidth="1"/>
    <col min="1804" max="1804" width="7.125" style="235" customWidth="1"/>
    <col min="1805" max="2048" width="9" style="235"/>
    <col min="2049" max="2051" width="11.75" style="235" customWidth="1"/>
    <col min="2052" max="2052" width="4.75" style="235" customWidth="1"/>
    <col min="2053" max="2055" width="10.625" style="235" customWidth="1"/>
    <col min="2056" max="2056" width="14.125" style="235" customWidth="1"/>
    <col min="2057" max="2057" width="16.5" style="235" customWidth="1"/>
    <col min="2058" max="2058" width="14.125" style="235" customWidth="1"/>
    <col min="2059" max="2059" width="9.5" style="235" customWidth="1"/>
    <col min="2060" max="2060" width="7.125" style="235" customWidth="1"/>
    <col min="2061" max="2304" width="9" style="235"/>
    <col min="2305" max="2307" width="11.75" style="235" customWidth="1"/>
    <col min="2308" max="2308" width="4.75" style="235" customWidth="1"/>
    <col min="2309" max="2311" width="10.625" style="235" customWidth="1"/>
    <col min="2312" max="2312" width="14.125" style="235" customWidth="1"/>
    <col min="2313" max="2313" width="16.5" style="235" customWidth="1"/>
    <col min="2314" max="2314" width="14.125" style="235" customWidth="1"/>
    <col min="2315" max="2315" width="9.5" style="235" customWidth="1"/>
    <col min="2316" max="2316" width="7.125" style="235" customWidth="1"/>
    <col min="2317" max="2560" width="9" style="235"/>
    <col min="2561" max="2563" width="11.75" style="235" customWidth="1"/>
    <col min="2564" max="2564" width="4.75" style="235" customWidth="1"/>
    <col min="2565" max="2567" width="10.625" style="235" customWidth="1"/>
    <col min="2568" max="2568" width="14.125" style="235" customWidth="1"/>
    <col min="2569" max="2569" width="16.5" style="235" customWidth="1"/>
    <col min="2570" max="2570" width="14.125" style="235" customWidth="1"/>
    <col min="2571" max="2571" width="9.5" style="235" customWidth="1"/>
    <col min="2572" max="2572" width="7.125" style="235" customWidth="1"/>
    <col min="2573" max="2816" width="9" style="235"/>
    <col min="2817" max="2819" width="11.75" style="235" customWidth="1"/>
    <col min="2820" max="2820" width="4.75" style="235" customWidth="1"/>
    <col min="2821" max="2823" width="10.625" style="235" customWidth="1"/>
    <col min="2824" max="2824" width="14.125" style="235" customWidth="1"/>
    <col min="2825" max="2825" width="16.5" style="235" customWidth="1"/>
    <col min="2826" max="2826" width="14.125" style="235" customWidth="1"/>
    <col min="2827" max="2827" width="9.5" style="235" customWidth="1"/>
    <col min="2828" max="2828" width="7.125" style="235" customWidth="1"/>
    <col min="2829" max="3072" width="9" style="235"/>
    <col min="3073" max="3075" width="11.75" style="235" customWidth="1"/>
    <col min="3076" max="3076" width="4.75" style="235" customWidth="1"/>
    <col min="3077" max="3079" width="10.625" style="235" customWidth="1"/>
    <col min="3080" max="3080" width="14.125" style="235" customWidth="1"/>
    <col min="3081" max="3081" width="16.5" style="235" customWidth="1"/>
    <col min="3082" max="3082" width="14.125" style="235" customWidth="1"/>
    <col min="3083" max="3083" width="9.5" style="235" customWidth="1"/>
    <col min="3084" max="3084" width="7.125" style="235" customWidth="1"/>
    <col min="3085" max="3328" width="9" style="235"/>
    <col min="3329" max="3331" width="11.75" style="235" customWidth="1"/>
    <col min="3332" max="3332" width="4.75" style="235" customWidth="1"/>
    <col min="3333" max="3335" width="10.625" style="235" customWidth="1"/>
    <col min="3336" max="3336" width="14.125" style="235" customWidth="1"/>
    <col min="3337" max="3337" width="16.5" style="235" customWidth="1"/>
    <col min="3338" max="3338" width="14.125" style="235" customWidth="1"/>
    <col min="3339" max="3339" width="9.5" style="235" customWidth="1"/>
    <col min="3340" max="3340" width="7.125" style="235" customWidth="1"/>
    <col min="3341" max="3584" width="9" style="235"/>
    <col min="3585" max="3587" width="11.75" style="235" customWidth="1"/>
    <col min="3588" max="3588" width="4.75" style="235" customWidth="1"/>
    <col min="3589" max="3591" width="10.625" style="235" customWidth="1"/>
    <col min="3592" max="3592" width="14.125" style="235" customWidth="1"/>
    <col min="3593" max="3593" width="16.5" style="235" customWidth="1"/>
    <col min="3594" max="3594" width="14.125" style="235" customWidth="1"/>
    <col min="3595" max="3595" width="9.5" style="235" customWidth="1"/>
    <col min="3596" max="3596" width="7.125" style="235" customWidth="1"/>
    <col min="3597" max="3840" width="9" style="235"/>
    <col min="3841" max="3843" width="11.75" style="235" customWidth="1"/>
    <col min="3844" max="3844" width="4.75" style="235" customWidth="1"/>
    <col min="3845" max="3847" width="10.625" style="235" customWidth="1"/>
    <col min="3848" max="3848" width="14.125" style="235" customWidth="1"/>
    <col min="3849" max="3849" width="16.5" style="235" customWidth="1"/>
    <col min="3850" max="3850" width="14.125" style="235" customWidth="1"/>
    <col min="3851" max="3851" width="9.5" style="235" customWidth="1"/>
    <col min="3852" max="3852" width="7.125" style="235" customWidth="1"/>
    <col min="3853" max="4096" width="9" style="235"/>
    <col min="4097" max="4099" width="11.75" style="235" customWidth="1"/>
    <col min="4100" max="4100" width="4.75" style="235" customWidth="1"/>
    <col min="4101" max="4103" width="10.625" style="235" customWidth="1"/>
    <col min="4104" max="4104" width="14.125" style="235" customWidth="1"/>
    <col min="4105" max="4105" width="16.5" style="235" customWidth="1"/>
    <col min="4106" max="4106" width="14.125" style="235" customWidth="1"/>
    <col min="4107" max="4107" width="9.5" style="235" customWidth="1"/>
    <col min="4108" max="4108" width="7.125" style="235" customWidth="1"/>
    <col min="4109" max="4352" width="9" style="235"/>
    <col min="4353" max="4355" width="11.75" style="235" customWidth="1"/>
    <col min="4356" max="4356" width="4.75" style="235" customWidth="1"/>
    <col min="4357" max="4359" width="10.625" style="235" customWidth="1"/>
    <col min="4360" max="4360" width="14.125" style="235" customWidth="1"/>
    <col min="4361" max="4361" width="16.5" style="235" customWidth="1"/>
    <col min="4362" max="4362" width="14.125" style="235" customWidth="1"/>
    <col min="4363" max="4363" width="9.5" style="235" customWidth="1"/>
    <col min="4364" max="4364" width="7.125" style="235" customWidth="1"/>
    <col min="4365" max="4608" width="9" style="235"/>
    <col min="4609" max="4611" width="11.75" style="235" customWidth="1"/>
    <col min="4612" max="4612" width="4.75" style="235" customWidth="1"/>
    <col min="4613" max="4615" width="10.625" style="235" customWidth="1"/>
    <col min="4616" max="4616" width="14.125" style="235" customWidth="1"/>
    <col min="4617" max="4617" width="16.5" style="235" customWidth="1"/>
    <col min="4618" max="4618" width="14.125" style="235" customWidth="1"/>
    <col min="4619" max="4619" width="9.5" style="235" customWidth="1"/>
    <col min="4620" max="4620" width="7.125" style="235" customWidth="1"/>
    <col min="4621" max="4864" width="9" style="235"/>
    <col min="4865" max="4867" width="11.75" style="235" customWidth="1"/>
    <col min="4868" max="4868" width="4.75" style="235" customWidth="1"/>
    <col min="4869" max="4871" width="10.625" style="235" customWidth="1"/>
    <col min="4872" max="4872" width="14.125" style="235" customWidth="1"/>
    <col min="4873" max="4873" width="16.5" style="235" customWidth="1"/>
    <col min="4874" max="4874" width="14.125" style="235" customWidth="1"/>
    <col min="4875" max="4875" width="9.5" style="235" customWidth="1"/>
    <col min="4876" max="4876" width="7.125" style="235" customWidth="1"/>
    <col min="4877" max="5120" width="9" style="235"/>
    <col min="5121" max="5123" width="11.75" style="235" customWidth="1"/>
    <col min="5124" max="5124" width="4.75" style="235" customWidth="1"/>
    <col min="5125" max="5127" width="10.625" style="235" customWidth="1"/>
    <col min="5128" max="5128" width="14.125" style="235" customWidth="1"/>
    <col min="5129" max="5129" width="16.5" style="235" customWidth="1"/>
    <col min="5130" max="5130" width="14.125" style="235" customWidth="1"/>
    <col min="5131" max="5131" width="9.5" style="235" customWidth="1"/>
    <col min="5132" max="5132" width="7.125" style="235" customWidth="1"/>
    <col min="5133" max="5376" width="9" style="235"/>
    <col min="5377" max="5379" width="11.75" style="235" customWidth="1"/>
    <col min="5380" max="5380" width="4.75" style="235" customWidth="1"/>
    <col min="5381" max="5383" width="10.625" style="235" customWidth="1"/>
    <col min="5384" max="5384" width="14.125" style="235" customWidth="1"/>
    <col min="5385" max="5385" width="16.5" style="235" customWidth="1"/>
    <col min="5386" max="5386" width="14.125" style="235" customWidth="1"/>
    <col min="5387" max="5387" width="9.5" style="235" customWidth="1"/>
    <col min="5388" max="5388" width="7.125" style="235" customWidth="1"/>
    <col min="5389" max="5632" width="9" style="235"/>
    <col min="5633" max="5635" width="11.75" style="235" customWidth="1"/>
    <col min="5636" max="5636" width="4.75" style="235" customWidth="1"/>
    <col min="5637" max="5639" width="10.625" style="235" customWidth="1"/>
    <col min="5640" max="5640" width="14.125" style="235" customWidth="1"/>
    <col min="5641" max="5641" width="16.5" style="235" customWidth="1"/>
    <col min="5642" max="5642" width="14.125" style="235" customWidth="1"/>
    <col min="5643" max="5643" width="9.5" style="235" customWidth="1"/>
    <col min="5644" max="5644" width="7.125" style="235" customWidth="1"/>
    <col min="5645" max="5888" width="9" style="235"/>
    <col min="5889" max="5891" width="11.75" style="235" customWidth="1"/>
    <col min="5892" max="5892" width="4.75" style="235" customWidth="1"/>
    <col min="5893" max="5895" width="10.625" style="235" customWidth="1"/>
    <col min="5896" max="5896" width="14.125" style="235" customWidth="1"/>
    <col min="5897" max="5897" width="16.5" style="235" customWidth="1"/>
    <col min="5898" max="5898" width="14.125" style="235" customWidth="1"/>
    <col min="5899" max="5899" width="9.5" style="235" customWidth="1"/>
    <col min="5900" max="5900" width="7.125" style="235" customWidth="1"/>
    <col min="5901" max="6144" width="9" style="235"/>
    <col min="6145" max="6147" width="11.75" style="235" customWidth="1"/>
    <col min="6148" max="6148" width="4.75" style="235" customWidth="1"/>
    <col min="6149" max="6151" width="10.625" style="235" customWidth="1"/>
    <col min="6152" max="6152" width="14.125" style="235" customWidth="1"/>
    <col min="6153" max="6153" width="16.5" style="235" customWidth="1"/>
    <col min="6154" max="6154" width="14.125" style="235" customWidth="1"/>
    <col min="6155" max="6155" width="9.5" style="235" customWidth="1"/>
    <col min="6156" max="6156" width="7.125" style="235" customWidth="1"/>
    <col min="6157" max="6400" width="9" style="235"/>
    <col min="6401" max="6403" width="11.75" style="235" customWidth="1"/>
    <col min="6404" max="6404" width="4.75" style="235" customWidth="1"/>
    <col min="6405" max="6407" width="10.625" style="235" customWidth="1"/>
    <col min="6408" max="6408" width="14.125" style="235" customWidth="1"/>
    <col min="6409" max="6409" width="16.5" style="235" customWidth="1"/>
    <col min="6410" max="6410" width="14.125" style="235" customWidth="1"/>
    <col min="6411" max="6411" width="9.5" style="235" customWidth="1"/>
    <col min="6412" max="6412" width="7.125" style="235" customWidth="1"/>
    <col min="6413" max="6656" width="9" style="235"/>
    <col min="6657" max="6659" width="11.75" style="235" customWidth="1"/>
    <col min="6660" max="6660" width="4.75" style="235" customWidth="1"/>
    <col min="6661" max="6663" width="10.625" style="235" customWidth="1"/>
    <col min="6664" max="6664" width="14.125" style="235" customWidth="1"/>
    <col min="6665" max="6665" width="16.5" style="235" customWidth="1"/>
    <col min="6666" max="6666" width="14.125" style="235" customWidth="1"/>
    <col min="6667" max="6667" width="9.5" style="235" customWidth="1"/>
    <col min="6668" max="6668" width="7.125" style="235" customWidth="1"/>
    <col min="6669" max="6912" width="9" style="235"/>
    <col min="6913" max="6915" width="11.75" style="235" customWidth="1"/>
    <col min="6916" max="6916" width="4.75" style="235" customWidth="1"/>
    <col min="6917" max="6919" width="10.625" style="235" customWidth="1"/>
    <col min="6920" max="6920" width="14.125" style="235" customWidth="1"/>
    <col min="6921" max="6921" width="16.5" style="235" customWidth="1"/>
    <col min="6922" max="6922" width="14.125" style="235" customWidth="1"/>
    <col min="6923" max="6923" width="9.5" style="235" customWidth="1"/>
    <col min="6924" max="6924" width="7.125" style="235" customWidth="1"/>
    <col min="6925" max="7168" width="9" style="235"/>
    <col min="7169" max="7171" width="11.75" style="235" customWidth="1"/>
    <col min="7172" max="7172" width="4.75" style="235" customWidth="1"/>
    <col min="7173" max="7175" width="10.625" style="235" customWidth="1"/>
    <col min="7176" max="7176" width="14.125" style="235" customWidth="1"/>
    <col min="7177" max="7177" width="16.5" style="235" customWidth="1"/>
    <col min="7178" max="7178" width="14.125" style="235" customWidth="1"/>
    <col min="7179" max="7179" width="9.5" style="235" customWidth="1"/>
    <col min="7180" max="7180" width="7.125" style="235" customWidth="1"/>
    <col min="7181" max="7424" width="9" style="235"/>
    <col min="7425" max="7427" width="11.75" style="235" customWidth="1"/>
    <col min="7428" max="7428" width="4.75" style="235" customWidth="1"/>
    <col min="7429" max="7431" width="10.625" style="235" customWidth="1"/>
    <col min="7432" max="7432" width="14.125" style="235" customWidth="1"/>
    <col min="7433" max="7433" width="16.5" style="235" customWidth="1"/>
    <col min="7434" max="7434" width="14.125" style="235" customWidth="1"/>
    <col min="7435" max="7435" width="9.5" style="235" customWidth="1"/>
    <col min="7436" max="7436" width="7.125" style="235" customWidth="1"/>
    <col min="7437" max="7680" width="9" style="235"/>
    <col min="7681" max="7683" width="11.75" style="235" customWidth="1"/>
    <col min="7684" max="7684" width="4.75" style="235" customWidth="1"/>
    <col min="7685" max="7687" width="10.625" style="235" customWidth="1"/>
    <col min="7688" max="7688" width="14.125" style="235" customWidth="1"/>
    <col min="7689" max="7689" width="16.5" style="235" customWidth="1"/>
    <col min="7690" max="7690" width="14.125" style="235" customWidth="1"/>
    <col min="7691" max="7691" width="9.5" style="235" customWidth="1"/>
    <col min="7692" max="7692" width="7.125" style="235" customWidth="1"/>
    <col min="7693" max="7936" width="9" style="235"/>
    <col min="7937" max="7939" width="11.75" style="235" customWidth="1"/>
    <col min="7940" max="7940" width="4.75" style="235" customWidth="1"/>
    <col min="7941" max="7943" width="10.625" style="235" customWidth="1"/>
    <col min="7944" max="7944" width="14.125" style="235" customWidth="1"/>
    <col min="7945" max="7945" width="16.5" style="235" customWidth="1"/>
    <col min="7946" max="7946" width="14.125" style="235" customWidth="1"/>
    <col min="7947" max="7947" width="9.5" style="235" customWidth="1"/>
    <col min="7948" max="7948" width="7.125" style="235" customWidth="1"/>
    <col min="7949" max="8192" width="9" style="235"/>
    <col min="8193" max="8195" width="11.75" style="235" customWidth="1"/>
    <col min="8196" max="8196" width="4.75" style="235" customWidth="1"/>
    <col min="8197" max="8199" width="10.625" style="235" customWidth="1"/>
    <col min="8200" max="8200" width="14.125" style="235" customWidth="1"/>
    <col min="8201" max="8201" width="16.5" style="235" customWidth="1"/>
    <col min="8202" max="8202" width="14.125" style="235" customWidth="1"/>
    <col min="8203" max="8203" width="9.5" style="235" customWidth="1"/>
    <col min="8204" max="8204" width="7.125" style="235" customWidth="1"/>
    <col min="8205" max="8448" width="9" style="235"/>
    <col min="8449" max="8451" width="11.75" style="235" customWidth="1"/>
    <col min="8452" max="8452" width="4.75" style="235" customWidth="1"/>
    <col min="8453" max="8455" width="10.625" style="235" customWidth="1"/>
    <col min="8456" max="8456" width="14.125" style="235" customWidth="1"/>
    <col min="8457" max="8457" width="16.5" style="235" customWidth="1"/>
    <col min="8458" max="8458" width="14.125" style="235" customWidth="1"/>
    <col min="8459" max="8459" width="9.5" style="235" customWidth="1"/>
    <col min="8460" max="8460" width="7.125" style="235" customWidth="1"/>
    <col min="8461" max="8704" width="9" style="235"/>
    <col min="8705" max="8707" width="11.75" style="235" customWidth="1"/>
    <col min="8708" max="8708" width="4.75" style="235" customWidth="1"/>
    <col min="8709" max="8711" width="10.625" style="235" customWidth="1"/>
    <col min="8712" max="8712" width="14.125" style="235" customWidth="1"/>
    <col min="8713" max="8713" width="16.5" style="235" customWidth="1"/>
    <col min="8714" max="8714" width="14.125" style="235" customWidth="1"/>
    <col min="8715" max="8715" width="9.5" style="235" customWidth="1"/>
    <col min="8716" max="8716" width="7.125" style="235" customWidth="1"/>
    <col min="8717" max="8960" width="9" style="235"/>
    <col min="8961" max="8963" width="11.75" style="235" customWidth="1"/>
    <col min="8964" max="8964" width="4.75" style="235" customWidth="1"/>
    <col min="8965" max="8967" width="10.625" style="235" customWidth="1"/>
    <col min="8968" max="8968" width="14.125" style="235" customWidth="1"/>
    <col min="8969" max="8969" width="16.5" style="235" customWidth="1"/>
    <col min="8970" max="8970" width="14.125" style="235" customWidth="1"/>
    <col min="8971" max="8971" width="9.5" style="235" customWidth="1"/>
    <col min="8972" max="8972" width="7.125" style="235" customWidth="1"/>
    <col min="8973" max="9216" width="9" style="235"/>
    <col min="9217" max="9219" width="11.75" style="235" customWidth="1"/>
    <col min="9220" max="9220" width="4.75" style="235" customWidth="1"/>
    <col min="9221" max="9223" width="10.625" style="235" customWidth="1"/>
    <col min="9224" max="9224" width="14.125" style="235" customWidth="1"/>
    <col min="9225" max="9225" width="16.5" style="235" customWidth="1"/>
    <col min="9226" max="9226" width="14.125" style="235" customWidth="1"/>
    <col min="9227" max="9227" width="9.5" style="235" customWidth="1"/>
    <col min="9228" max="9228" width="7.125" style="235" customWidth="1"/>
    <col min="9229" max="9472" width="9" style="235"/>
    <col min="9473" max="9475" width="11.75" style="235" customWidth="1"/>
    <col min="9476" max="9476" width="4.75" style="235" customWidth="1"/>
    <col min="9477" max="9479" width="10.625" style="235" customWidth="1"/>
    <col min="9480" max="9480" width="14.125" style="235" customWidth="1"/>
    <col min="9481" max="9481" width="16.5" style="235" customWidth="1"/>
    <col min="9482" max="9482" width="14.125" style="235" customWidth="1"/>
    <col min="9483" max="9483" width="9.5" style="235" customWidth="1"/>
    <col min="9484" max="9484" width="7.125" style="235" customWidth="1"/>
    <col min="9485" max="9728" width="9" style="235"/>
    <col min="9729" max="9731" width="11.75" style="235" customWidth="1"/>
    <col min="9732" max="9732" width="4.75" style="235" customWidth="1"/>
    <col min="9733" max="9735" width="10.625" style="235" customWidth="1"/>
    <col min="9736" max="9736" width="14.125" style="235" customWidth="1"/>
    <col min="9737" max="9737" width="16.5" style="235" customWidth="1"/>
    <col min="9738" max="9738" width="14.125" style="235" customWidth="1"/>
    <col min="9739" max="9739" width="9.5" style="235" customWidth="1"/>
    <col min="9740" max="9740" width="7.125" style="235" customWidth="1"/>
    <col min="9741" max="9984" width="9" style="235"/>
    <col min="9985" max="9987" width="11.75" style="235" customWidth="1"/>
    <col min="9988" max="9988" width="4.75" style="235" customWidth="1"/>
    <col min="9989" max="9991" width="10.625" style="235" customWidth="1"/>
    <col min="9992" max="9992" width="14.125" style="235" customWidth="1"/>
    <col min="9993" max="9993" width="16.5" style="235" customWidth="1"/>
    <col min="9994" max="9994" width="14.125" style="235" customWidth="1"/>
    <col min="9995" max="9995" width="9.5" style="235" customWidth="1"/>
    <col min="9996" max="9996" width="7.125" style="235" customWidth="1"/>
    <col min="9997" max="10240" width="9" style="235"/>
    <col min="10241" max="10243" width="11.75" style="235" customWidth="1"/>
    <col min="10244" max="10244" width="4.75" style="235" customWidth="1"/>
    <col min="10245" max="10247" width="10.625" style="235" customWidth="1"/>
    <col min="10248" max="10248" width="14.125" style="235" customWidth="1"/>
    <col min="10249" max="10249" width="16.5" style="235" customWidth="1"/>
    <col min="10250" max="10250" width="14.125" style="235" customWidth="1"/>
    <col min="10251" max="10251" width="9.5" style="235" customWidth="1"/>
    <col min="10252" max="10252" width="7.125" style="235" customWidth="1"/>
    <col min="10253" max="10496" width="9" style="235"/>
    <col min="10497" max="10499" width="11.75" style="235" customWidth="1"/>
    <col min="10500" max="10500" width="4.75" style="235" customWidth="1"/>
    <col min="10501" max="10503" width="10.625" style="235" customWidth="1"/>
    <col min="10504" max="10504" width="14.125" style="235" customWidth="1"/>
    <col min="10505" max="10505" width="16.5" style="235" customWidth="1"/>
    <col min="10506" max="10506" width="14.125" style="235" customWidth="1"/>
    <col min="10507" max="10507" width="9.5" style="235" customWidth="1"/>
    <col min="10508" max="10508" width="7.125" style="235" customWidth="1"/>
    <col min="10509" max="10752" width="9" style="235"/>
    <col min="10753" max="10755" width="11.75" style="235" customWidth="1"/>
    <col min="10756" max="10756" width="4.75" style="235" customWidth="1"/>
    <col min="10757" max="10759" width="10.625" style="235" customWidth="1"/>
    <col min="10760" max="10760" width="14.125" style="235" customWidth="1"/>
    <col min="10761" max="10761" width="16.5" style="235" customWidth="1"/>
    <col min="10762" max="10762" width="14.125" style="235" customWidth="1"/>
    <col min="10763" max="10763" width="9.5" style="235" customWidth="1"/>
    <col min="10764" max="10764" width="7.125" style="235" customWidth="1"/>
    <col min="10765" max="11008" width="9" style="235"/>
    <col min="11009" max="11011" width="11.75" style="235" customWidth="1"/>
    <col min="11012" max="11012" width="4.75" style="235" customWidth="1"/>
    <col min="11013" max="11015" width="10.625" style="235" customWidth="1"/>
    <col min="11016" max="11016" width="14.125" style="235" customWidth="1"/>
    <col min="11017" max="11017" width="16.5" style="235" customWidth="1"/>
    <col min="11018" max="11018" width="14.125" style="235" customWidth="1"/>
    <col min="11019" max="11019" width="9.5" style="235" customWidth="1"/>
    <col min="11020" max="11020" width="7.125" style="235" customWidth="1"/>
    <col min="11021" max="11264" width="9" style="235"/>
    <col min="11265" max="11267" width="11.75" style="235" customWidth="1"/>
    <col min="11268" max="11268" width="4.75" style="235" customWidth="1"/>
    <col min="11269" max="11271" width="10.625" style="235" customWidth="1"/>
    <col min="11272" max="11272" width="14.125" style="235" customWidth="1"/>
    <col min="11273" max="11273" width="16.5" style="235" customWidth="1"/>
    <col min="11274" max="11274" width="14.125" style="235" customWidth="1"/>
    <col min="11275" max="11275" width="9.5" style="235" customWidth="1"/>
    <col min="11276" max="11276" width="7.125" style="235" customWidth="1"/>
    <col min="11277" max="11520" width="9" style="235"/>
    <col min="11521" max="11523" width="11.75" style="235" customWidth="1"/>
    <col min="11524" max="11524" width="4.75" style="235" customWidth="1"/>
    <col min="11525" max="11527" width="10.625" style="235" customWidth="1"/>
    <col min="11528" max="11528" width="14.125" style="235" customWidth="1"/>
    <col min="11529" max="11529" width="16.5" style="235" customWidth="1"/>
    <col min="11530" max="11530" width="14.125" style="235" customWidth="1"/>
    <col min="11531" max="11531" width="9.5" style="235" customWidth="1"/>
    <col min="11532" max="11532" width="7.125" style="235" customWidth="1"/>
    <col min="11533" max="11776" width="9" style="235"/>
    <col min="11777" max="11779" width="11.75" style="235" customWidth="1"/>
    <col min="11780" max="11780" width="4.75" style="235" customWidth="1"/>
    <col min="11781" max="11783" width="10.625" style="235" customWidth="1"/>
    <col min="11784" max="11784" width="14.125" style="235" customWidth="1"/>
    <col min="11785" max="11785" width="16.5" style="235" customWidth="1"/>
    <col min="11786" max="11786" width="14.125" style="235" customWidth="1"/>
    <col min="11787" max="11787" width="9.5" style="235" customWidth="1"/>
    <col min="11788" max="11788" width="7.125" style="235" customWidth="1"/>
    <col min="11789" max="12032" width="9" style="235"/>
    <col min="12033" max="12035" width="11.75" style="235" customWidth="1"/>
    <col min="12036" max="12036" width="4.75" style="235" customWidth="1"/>
    <col min="12037" max="12039" width="10.625" style="235" customWidth="1"/>
    <col min="12040" max="12040" width="14.125" style="235" customWidth="1"/>
    <col min="12041" max="12041" width="16.5" style="235" customWidth="1"/>
    <col min="12042" max="12042" width="14.125" style="235" customWidth="1"/>
    <col min="12043" max="12043" width="9.5" style="235" customWidth="1"/>
    <col min="12044" max="12044" width="7.125" style="235" customWidth="1"/>
    <col min="12045" max="12288" width="9" style="235"/>
    <col min="12289" max="12291" width="11.75" style="235" customWidth="1"/>
    <col min="12292" max="12292" width="4.75" style="235" customWidth="1"/>
    <col min="12293" max="12295" width="10.625" style="235" customWidth="1"/>
    <col min="12296" max="12296" width="14.125" style="235" customWidth="1"/>
    <col min="12297" max="12297" width="16.5" style="235" customWidth="1"/>
    <col min="12298" max="12298" width="14.125" style="235" customWidth="1"/>
    <col min="12299" max="12299" width="9.5" style="235" customWidth="1"/>
    <col min="12300" max="12300" width="7.125" style="235" customWidth="1"/>
    <col min="12301" max="12544" width="9" style="235"/>
    <col min="12545" max="12547" width="11.75" style="235" customWidth="1"/>
    <col min="12548" max="12548" width="4.75" style="235" customWidth="1"/>
    <col min="12549" max="12551" width="10.625" style="235" customWidth="1"/>
    <col min="12552" max="12552" width="14.125" style="235" customWidth="1"/>
    <col min="12553" max="12553" width="16.5" style="235" customWidth="1"/>
    <col min="12554" max="12554" width="14.125" style="235" customWidth="1"/>
    <col min="12555" max="12555" width="9.5" style="235" customWidth="1"/>
    <col min="12556" max="12556" width="7.125" style="235" customWidth="1"/>
    <col min="12557" max="12800" width="9" style="235"/>
    <col min="12801" max="12803" width="11.75" style="235" customWidth="1"/>
    <col min="12804" max="12804" width="4.75" style="235" customWidth="1"/>
    <col min="12805" max="12807" width="10.625" style="235" customWidth="1"/>
    <col min="12808" max="12808" width="14.125" style="235" customWidth="1"/>
    <col min="12809" max="12809" width="16.5" style="235" customWidth="1"/>
    <col min="12810" max="12810" width="14.125" style="235" customWidth="1"/>
    <col min="12811" max="12811" width="9.5" style="235" customWidth="1"/>
    <col min="12812" max="12812" width="7.125" style="235" customWidth="1"/>
    <col min="12813" max="13056" width="9" style="235"/>
    <col min="13057" max="13059" width="11.75" style="235" customWidth="1"/>
    <col min="13060" max="13060" width="4.75" style="235" customWidth="1"/>
    <col min="13061" max="13063" width="10.625" style="235" customWidth="1"/>
    <col min="13064" max="13064" width="14.125" style="235" customWidth="1"/>
    <col min="13065" max="13065" width="16.5" style="235" customWidth="1"/>
    <col min="13066" max="13066" width="14.125" style="235" customWidth="1"/>
    <col min="13067" max="13067" width="9.5" style="235" customWidth="1"/>
    <col min="13068" max="13068" width="7.125" style="235" customWidth="1"/>
    <col min="13069" max="13312" width="9" style="235"/>
    <col min="13313" max="13315" width="11.75" style="235" customWidth="1"/>
    <col min="13316" max="13316" width="4.75" style="235" customWidth="1"/>
    <col min="13317" max="13319" width="10.625" style="235" customWidth="1"/>
    <col min="13320" max="13320" width="14.125" style="235" customWidth="1"/>
    <col min="13321" max="13321" width="16.5" style="235" customWidth="1"/>
    <col min="13322" max="13322" width="14.125" style="235" customWidth="1"/>
    <col min="13323" max="13323" width="9.5" style="235" customWidth="1"/>
    <col min="13324" max="13324" width="7.125" style="235" customWidth="1"/>
    <col min="13325" max="13568" width="9" style="235"/>
    <col min="13569" max="13571" width="11.75" style="235" customWidth="1"/>
    <col min="13572" max="13572" width="4.75" style="235" customWidth="1"/>
    <col min="13573" max="13575" width="10.625" style="235" customWidth="1"/>
    <col min="13576" max="13576" width="14.125" style="235" customWidth="1"/>
    <col min="13577" max="13577" width="16.5" style="235" customWidth="1"/>
    <col min="13578" max="13578" width="14.125" style="235" customWidth="1"/>
    <col min="13579" max="13579" width="9.5" style="235" customWidth="1"/>
    <col min="13580" max="13580" width="7.125" style="235" customWidth="1"/>
    <col min="13581" max="13824" width="9" style="235"/>
    <col min="13825" max="13827" width="11.75" style="235" customWidth="1"/>
    <col min="13828" max="13828" width="4.75" style="235" customWidth="1"/>
    <col min="13829" max="13831" width="10.625" style="235" customWidth="1"/>
    <col min="13832" max="13832" width="14.125" style="235" customWidth="1"/>
    <col min="13833" max="13833" width="16.5" style="235" customWidth="1"/>
    <col min="13834" max="13834" width="14.125" style="235" customWidth="1"/>
    <col min="13835" max="13835" width="9.5" style="235" customWidth="1"/>
    <col min="13836" max="13836" width="7.125" style="235" customWidth="1"/>
    <col min="13837" max="14080" width="9" style="235"/>
    <col min="14081" max="14083" width="11.75" style="235" customWidth="1"/>
    <col min="14084" max="14084" width="4.75" style="235" customWidth="1"/>
    <col min="14085" max="14087" width="10.625" style="235" customWidth="1"/>
    <col min="14088" max="14088" width="14.125" style="235" customWidth="1"/>
    <col min="14089" max="14089" width="16.5" style="235" customWidth="1"/>
    <col min="14090" max="14090" width="14.125" style="235" customWidth="1"/>
    <col min="14091" max="14091" width="9.5" style="235" customWidth="1"/>
    <col min="14092" max="14092" width="7.125" style="235" customWidth="1"/>
    <col min="14093" max="14336" width="9" style="235"/>
    <col min="14337" max="14339" width="11.75" style="235" customWidth="1"/>
    <col min="14340" max="14340" width="4.75" style="235" customWidth="1"/>
    <col min="14341" max="14343" width="10.625" style="235" customWidth="1"/>
    <col min="14344" max="14344" width="14.125" style="235" customWidth="1"/>
    <col min="14345" max="14345" width="16.5" style="235" customWidth="1"/>
    <col min="14346" max="14346" width="14.125" style="235" customWidth="1"/>
    <col min="14347" max="14347" width="9.5" style="235" customWidth="1"/>
    <col min="14348" max="14348" width="7.125" style="235" customWidth="1"/>
    <col min="14349" max="14592" width="9" style="235"/>
    <col min="14593" max="14595" width="11.75" style="235" customWidth="1"/>
    <col min="14596" max="14596" width="4.75" style="235" customWidth="1"/>
    <col min="14597" max="14599" width="10.625" style="235" customWidth="1"/>
    <col min="14600" max="14600" width="14.125" style="235" customWidth="1"/>
    <col min="14601" max="14601" width="16.5" style="235" customWidth="1"/>
    <col min="14602" max="14602" width="14.125" style="235" customWidth="1"/>
    <col min="14603" max="14603" width="9.5" style="235" customWidth="1"/>
    <col min="14604" max="14604" width="7.125" style="235" customWidth="1"/>
    <col min="14605" max="14848" width="9" style="235"/>
    <col min="14849" max="14851" width="11.75" style="235" customWidth="1"/>
    <col min="14852" max="14852" width="4.75" style="235" customWidth="1"/>
    <col min="14853" max="14855" width="10.625" style="235" customWidth="1"/>
    <col min="14856" max="14856" width="14.125" style="235" customWidth="1"/>
    <col min="14857" max="14857" width="16.5" style="235" customWidth="1"/>
    <col min="14858" max="14858" width="14.125" style="235" customWidth="1"/>
    <col min="14859" max="14859" width="9.5" style="235" customWidth="1"/>
    <col min="14860" max="14860" width="7.125" style="235" customWidth="1"/>
    <col min="14861" max="15104" width="9" style="235"/>
    <col min="15105" max="15107" width="11.75" style="235" customWidth="1"/>
    <col min="15108" max="15108" width="4.75" style="235" customWidth="1"/>
    <col min="15109" max="15111" width="10.625" style="235" customWidth="1"/>
    <col min="15112" max="15112" width="14.125" style="235" customWidth="1"/>
    <col min="15113" max="15113" width="16.5" style="235" customWidth="1"/>
    <col min="15114" max="15114" width="14.125" style="235" customWidth="1"/>
    <col min="15115" max="15115" width="9.5" style="235" customWidth="1"/>
    <col min="15116" max="15116" width="7.125" style="235" customWidth="1"/>
    <col min="15117" max="15360" width="9" style="235"/>
    <col min="15361" max="15363" width="11.75" style="235" customWidth="1"/>
    <col min="15364" max="15364" width="4.75" style="235" customWidth="1"/>
    <col min="15365" max="15367" width="10.625" style="235" customWidth="1"/>
    <col min="15368" max="15368" width="14.125" style="235" customWidth="1"/>
    <col min="15369" max="15369" width="16.5" style="235" customWidth="1"/>
    <col min="15370" max="15370" width="14.125" style="235" customWidth="1"/>
    <col min="15371" max="15371" width="9.5" style="235" customWidth="1"/>
    <col min="15372" max="15372" width="7.125" style="235" customWidth="1"/>
    <col min="15373" max="15616" width="9" style="235"/>
    <col min="15617" max="15619" width="11.75" style="235" customWidth="1"/>
    <col min="15620" max="15620" width="4.75" style="235" customWidth="1"/>
    <col min="15621" max="15623" width="10.625" style="235" customWidth="1"/>
    <col min="15624" max="15624" width="14.125" style="235" customWidth="1"/>
    <col min="15625" max="15625" width="16.5" style="235" customWidth="1"/>
    <col min="15626" max="15626" width="14.125" style="235" customWidth="1"/>
    <col min="15627" max="15627" width="9.5" style="235" customWidth="1"/>
    <col min="15628" max="15628" width="7.125" style="235" customWidth="1"/>
    <col min="15629" max="15872" width="9" style="235"/>
    <col min="15873" max="15875" width="11.75" style="235" customWidth="1"/>
    <col min="15876" max="15876" width="4.75" style="235" customWidth="1"/>
    <col min="15877" max="15879" width="10.625" style="235" customWidth="1"/>
    <col min="15880" max="15880" width="14.125" style="235" customWidth="1"/>
    <col min="15881" max="15881" width="16.5" style="235" customWidth="1"/>
    <col min="15882" max="15882" width="14.125" style="235" customWidth="1"/>
    <col min="15883" max="15883" width="9.5" style="235" customWidth="1"/>
    <col min="15884" max="15884" width="7.125" style="235" customWidth="1"/>
    <col min="15885" max="16128" width="9" style="235"/>
    <col min="16129" max="16131" width="11.75" style="235" customWidth="1"/>
    <col min="16132" max="16132" width="4.75" style="235" customWidth="1"/>
    <col min="16133" max="16135" width="10.625" style="235" customWidth="1"/>
    <col min="16136" max="16136" width="14.125" style="235" customWidth="1"/>
    <col min="16137" max="16137" width="16.5" style="235" customWidth="1"/>
    <col min="16138" max="16138" width="14.125" style="235" customWidth="1"/>
    <col min="16139" max="16139" width="9.5" style="235" customWidth="1"/>
    <col min="16140" max="16140" width="7.125" style="235" customWidth="1"/>
    <col min="16141" max="16384" width="9" style="235"/>
  </cols>
  <sheetData>
    <row r="1" spans="1:15" ht="16.5" thickTop="1" thickBot="1">
      <c r="A1" s="233" t="s">
        <v>619</v>
      </c>
      <c r="B1" s="234" t="s">
        <v>620</v>
      </c>
      <c r="M1" s="556" t="s">
        <v>639</v>
      </c>
      <c r="N1" s="556"/>
      <c r="O1" s="556"/>
    </row>
    <row r="2" spans="1:15" ht="16.5" thickTop="1" thickBot="1">
      <c r="A2" s="233" t="s">
        <v>621</v>
      </c>
      <c r="B2" s="233" t="s">
        <v>622</v>
      </c>
      <c r="C2" s="233" t="s">
        <v>623</v>
      </c>
      <c r="D2" s="233" t="s">
        <v>624</v>
      </c>
      <c r="E2" s="233" t="s">
        <v>625</v>
      </c>
      <c r="F2" s="233" t="s">
        <v>626</v>
      </c>
      <c r="G2" s="233" t="s">
        <v>627</v>
      </c>
      <c r="H2" s="233" t="s">
        <v>628</v>
      </c>
      <c r="I2" s="233" t="s">
        <v>629</v>
      </c>
      <c r="J2" s="233" t="s">
        <v>630</v>
      </c>
      <c r="K2" s="233" t="s">
        <v>631</v>
      </c>
      <c r="L2" s="233" t="s">
        <v>632</v>
      </c>
      <c r="M2" s="236" t="s">
        <v>636</v>
      </c>
      <c r="N2" s="236" t="s">
        <v>637</v>
      </c>
      <c r="O2" s="236" t="s">
        <v>638</v>
      </c>
    </row>
    <row r="3" spans="1:15" ht="15.75" thickTop="1">
      <c r="A3" s="436" t="s">
        <v>787</v>
      </c>
      <c r="B3" s="328" t="s">
        <v>788</v>
      </c>
      <c r="C3" s="328" t="s">
        <v>789</v>
      </c>
      <c r="D3" s="326">
        <v>178</v>
      </c>
      <c r="E3" s="326">
        <v>18400</v>
      </c>
      <c r="F3" s="327">
        <v>85.22</v>
      </c>
      <c r="G3" s="326">
        <v>85.22</v>
      </c>
      <c r="H3" s="328" t="s">
        <v>633</v>
      </c>
      <c r="I3" s="327">
        <v>564.88</v>
      </c>
      <c r="J3" s="329">
        <v>36.5</v>
      </c>
      <c r="K3" s="237">
        <v>0</v>
      </c>
      <c r="L3" s="235">
        <v>0</v>
      </c>
      <c r="M3" s="238">
        <f>IF(D3="","",E3/D3/24)</f>
        <v>4.3071161048689133</v>
      </c>
      <c r="N3" s="239">
        <f>IF(C3="","",MONTH(C3))</f>
        <v>4</v>
      </c>
      <c r="O3" s="239">
        <f>IF(C3="","",YEAR(C3))</f>
        <v>2007</v>
      </c>
    </row>
    <row r="4" spans="1:15">
      <c r="A4" s="328" t="s">
        <v>787</v>
      </c>
      <c r="B4" s="328" t="s">
        <v>790</v>
      </c>
      <c r="C4" s="328" t="s">
        <v>730</v>
      </c>
      <c r="D4" s="326">
        <v>28</v>
      </c>
      <c r="E4" s="326">
        <v>32840</v>
      </c>
      <c r="F4" s="327">
        <v>79.86</v>
      </c>
      <c r="G4" s="326">
        <v>79.86</v>
      </c>
      <c r="H4" s="328" t="s">
        <v>633</v>
      </c>
      <c r="I4" s="327">
        <v>728.03</v>
      </c>
      <c r="J4" s="329">
        <v>59.2</v>
      </c>
      <c r="K4" s="237">
        <v>0</v>
      </c>
      <c r="L4" s="235">
        <v>0</v>
      </c>
      <c r="M4" s="238">
        <f t="shared" ref="M4:M50" si="0">IF(D4="","",E4/D4/24)</f>
        <v>48.86904761904762</v>
      </c>
      <c r="N4" s="239">
        <f t="shared" ref="N4:N50" si="1">IF(C4="","",MONTH(C4))</f>
        <v>5</v>
      </c>
      <c r="O4" s="239">
        <f t="shared" ref="O4:O50" si="2">IF(C4="","",YEAR(C4))</f>
        <v>2007</v>
      </c>
    </row>
    <row r="5" spans="1:15">
      <c r="A5" s="328" t="s">
        <v>787</v>
      </c>
      <c r="B5" s="328" t="s">
        <v>731</v>
      </c>
      <c r="C5" s="328" t="s">
        <v>791</v>
      </c>
      <c r="D5" s="326">
        <v>32</v>
      </c>
      <c r="E5" s="326">
        <v>40080</v>
      </c>
      <c r="F5" s="327">
        <v>79.319999999999993</v>
      </c>
      <c r="G5" s="326">
        <v>79.319999999999993</v>
      </c>
      <c r="H5" s="328" t="s">
        <v>633</v>
      </c>
      <c r="I5" s="327">
        <v>823.14</v>
      </c>
      <c r="J5" s="329">
        <v>65.8</v>
      </c>
      <c r="K5" s="237">
        <v>0</v>
      </c>
      <c r="L5" s="235">
        <v>0</v>
      </c>
      <c r="M5" s="238">
        <f t="shared" si="0"/>
        <v>52.1875</v>
      </c>
      <c r="N5" s="239">
        <f t="shared" si="1"/>
        <v>6</v>
      </c>
      <c r="O5" s="239">
        <f t="shared" si="2"/>
        <v>2007</v>
      </c>
    </row>
    <row r="6" spans="1:15">
      <c r="A6" s="328" t="s">
        <v>787</v>
      </c>
      <c r="B6" s="328" t="s">
        <v>732</v>
      </c>
      <c r="C6" s="328" t="s">
        <v>733</v>
      </c>
      <c r="D6" s="326">
        <v>29</v>
      </c>
      <c r="E6" s="326">
        <v>37800</v>
      </c>
      <c r="F6" s="327">
        <v>83.61</v>
      </c>
      <c r="G6" s="326">
        <v>83.61</v>
      </c>
      <c r="H6" s="328" t="s">
        <v>633</v>
      </c>
      <c r="I6" s="327">
        <v>808.88</v>
      </c>
      <c r="J6" s="329">
        <v>77.2</v>
      </c>
      <c r="K6" s="237">
        <v>0</v>
      </c>
      <c r="L6" s="235">
        <v>0</v>
      </c>
      <c r="M6" s="238">
        <f t="shared" si="0"/>
        <v>54.310344827586214</v>
      </c>
      <c r="N6" s="239">
        <f t="shared" si="1"/>
        <v>7</v>
      </c>
      <c r="O6" s="239">
        <f t="shared" si="2"/>
        <v>2007</v>
      </c>
    </row>
    <row r="7" spans="1:15">
      <c r="A7" s="328" t="s">
        <v>787</v>
      </c>
      <c r="B7" s="328" t="s">
        <v>734</v>
      </c>
      <c r="C7" s="328" t="s">
        <v>792</v>
      </c>
      <c r="D7" s="326">
        <v>33</v>
      </c>
      <c r="E7" s="326">
        <v>42320</v>
      </c>
      <c r="F7" s="327">
        <v>82.54</v>
      </c>
      <c r="G7" s="326">
        <v>82.54</v>
      </c>
      <c r="H7" s="328" t="s">
        <v>633</v>
      </c>
      <c r="I7" s="327">
        <v>867</v>
      </c>
      <c r="J7" s="329">
        <v>73</v>
      </c>
      <c r="K7" s="237">
        <v>0</v>
      </c>
      <c r="L7" s="235">
        <v>0</v>
      </c>
      <c r="M7" s="238">
        <f t="shared" si="0"/>
        <v>53.43434343434344</v>
      </c>
      <c r="N7" s="239">
        <f t="shared" si="1"/>
        <v>8</v>
      </c>
      <c r="O7" s="239">
        <f t="shared" si="2"/>
        <v>2007</v>
      </c>
    </row>
    <row r="8" spans="1:15">
      <c r="A8" s="328" t="s">
        <v>787</v>
      </c>
      <c r="B8" s="328" t="s">
        <v>793</v>
      </c>
      <c r="C8" s="328" t="s">
        <v>794</v>
      </c>
      <c r="D8" s="326">
        <v>31</v>
      </c>
      <c r="E8" s="326">
        <v>39640</v>
      </c>
      <c r="F8" s="327">
        <v>80.400000000000006</v>
      </c>
      <c r="G8" s="326">
        <v>80.400000000000006</v>
      </c>
      <c r="H8" s="328" t="s">
        <v>633</v>
      </c>
      <c r="I8" s="327">
        <v>820.5</v>
      </c>
      <c r="J8" s="329">
        <v>67.099999999999994</v>
      </c>
      <c r="K8" s="237">
        <v>0</v>
      </c>
      <c r="L8" s="235">
        <v>0</v>
      </c>
      <c r="M8" s="238">
        <f t="shared" si="0"/>
        <v>53.27956989247312</v>
      </c>
      <c r="N8" s="239">
        <f t="shared" si="1"/>
        <v>9</v>
      </c>
      <c r="O8" s="239">
        <f t="shared" si="2"/>
        <v>2007</v>
      </c>
    </row>
    <row r="9" spans="1:15">
      <c r="A9" s="328" t="s">
        <v>787</v>
      </c>
      <c r="B9" s="328" t="s">
        <v>795</v>
      </c>
      <c r="C9" s="328" t="s">
        <v>796</v>
      </c>
      <c r="D9" s="326">
        <v>32</v>
      </c>
      <c r="E9" s="326">
        <v>20800</v>
      </c>
      <c r="F9" s="327">
        <v>83.61</v>
      </c>
      <c r="G9" s="326">
        <v>83.61</v>
      </c>
      <c r="H9" s="328" t="s">
        <v>633</v>
      </c>
      <c r="I9" s="327">
        <v>282.88</v>
      </c>
      <c r="J9" s="329">
        <v>50.1</v>
      </c>
      <c r="K9" s="237">
        <v>0</v>
      </c>
      <c r="L9" s="235">
        <v>0</v>
      </c>
      <c r="M9" s="238">
        <f t="shared" si="0"/>
        <v>27.083333333333332</v>
      </c>
      <c r="N9" s="239">
        <f t="shared" si="1"/>
        <v>10</v>
      </c>
      <c r="O9" s="239">
        <f t="shared" si="2"/>
        <v>2007</v>
      </c>
    </row>
    <row r="10" spans="1:15">
      <c r="A10" s="328" t="s">
        <v>787</v>
      </c>
      <c r="B10" s="328" t="s">
        <v>797</v>
      </c>
      <c r="C10" s="328" t="s">
        <v>735</v>
      </c>
      <c r="D10" s="326">
        <v>177</v>
      </c>
      <c r="E10" s="326">
        <v>9200</v>
      </c>
      <c r="F10" s="327">
        <v>86.83</v>
      </c>
      <c r="G10" s="326">
        <v>86.83</v>
      </c>
      <c r="H10" s="328" t="s">
        <v>633</v>
      </c>
      <c r="I10" s="327">
        <v>291.33</v>
      </c>
      <c r="J10" s="329">
        <v>35.1</v>
      </c>
      <c r="K10" s="237">
        <v>0</v>
      </c>
      <c r="L10" s="235">
        <v>0</v>
      </c>
      <c r="M10" s="238">
        <f t="shared" si="0"/>
        <v>2.1657250470809792</v>
      </c>
      <c r="N10" s="239">
        <f t="shared" si="1"/>
        <v>4</v>
      </c>
      <c r="O10" s="239">
        <f t="shared" si="2"/>
        <v>2008</v>
      </c>
    </row>
    <row r="11" spans="1:15">
      <c r="A11" s="328" t="s">
        <v>787</v>
      </c>
      <c r="B11" s="328" t="s">
        <v>798</v>
      </c>
      <c r="C11" s="328" t="s">
        <v>736</v>
      </c>
      <c r="D11" s="326">
        <v>30</v>
      </c>
      <c r="E11" s="326">
        <v>35640</v>
      </c>
      <c r="F11" s="327">
        <v>78.790000000000006</v>
      </c>
      <c r="G11" s="326">
        <v>78.790000000000006</v>
      </c>
      <c r="H11" s="328" t="s">
        <v>633</v>
      </c>
      <c r="I11" s="327">
        <v>801.78</v>
      </c>
      <c r="J11" s="329">
        <v>58.2</v>
      </c>
      <c r="K11" s="237">
        <v>0</v>
      </c>
      <c r="L11" s="235">
        <v>0</v>
      </c>
      <c r="M11" s="238">
        <f t="shared" si="0"/>
        <v>49.5</v>
      </c>
      <c r="N11" s="239">
        <f t="shared" si="1"/>
        <v>5</v>
      </c>
      <c r="O11" s="239">
        <f t="shared" si="2"/>
        <v>2008</v>
      </c>
    </row>
    <row r="12" spans="1:15">
      <c r="A12" s="328" t="s">
        <v>787</v>
      </c>
      <c r="B12" s="328" t="s">
        <v>799</v>
      </c>
      <c r="C12" s="328" t="s">
        <v>737</v>
      </c>
      <c r="D12" s="326">
        <v>32</v>
      </c>
      <c r="E12" s="326">
        <v>38640</v>
      </c>
      <c r="F12" s="327">
        <v>77.180000000000007</v>
      </c>
      <c r="G12" s="326">
        <v>77.180000000000007</v>
      </c>
      <c r="H12" s="328" t="s">
        <v>633</v>
      </c>
      <c r="I12" s="327">
        <v>837.64</v>
      </c>
      <c r="J12" s="329">
        <v>63.7</v>
      </c>
      <c r="K12" s="237">
        <v>0</v>
      </c>
      <c r="L12" s="235">
        <v>0</v>
      </c>
      <c r="M12" s="238">
        <f t="shared" si="0"/>
        <v>50.3125</v>
      </c>
      <c r="N12" s="239">
        <f t="shared" si="1"/>
        <v>6</v>
      </c>
      <c r="O12" s="239">
        <f t="shared" si="2"/>
        <v>2008</v>
      </c>
    </row>
    <row r="13" spans="1:15">
      <c r="A13" s="328" t="s">
        <v>787</v>
      </c>
      <c r="B13" s="328" t="s">
        <v>800</v>
      </c>
      <c r="C13" s="328" t="s">
        <v>801</v>
      </c>
      <c r="D13" s="326">
        <v>34</v>
      </c>
      <c r="E13" s="326">
        <v>44480</v>
      </c>
      <c r="F13" s="327">
        <v>85.22</v>
      </c>
      <c r="G13" s="326">
        <v>85.22</v>
      </c>
      <c r="H13" s="328" t="s">
        <v>633</v>
      </c>
      <c r="I13" s="327">
        <v>949.31</v>
      </c>
      <c r="J13" s="329">
        <v>75.7</v>
      </c>
      <c r="K13" s="237">
        <v>0</v>
      </c>
      <c r="L13" s="235">
        <v>0</v>
      </c>
      <c r="M13" s="238">
        <f t="shared" si="0"/>
        <v>54.509803921568626</v>
      </c>
      <c r="N13" s="239">
        <f t="shared" si="1"/>
        <v>7</v>
      </c>
      <c r="O13" s="239">
        <f t="shared" si="2"/>
        <v>2008</v>
      </c>
    </row>
    <row r="14" spans="1:15">
      <c r="A14" s="328" t="s">
        <v>787</v>
      </c>
      <c r="B14" s="328" t="s">
        <v>802</v>
      </c>
      <c r="C14" s="328" t="s">
        <v>803</v>
      </c>
      <c r="D14" s="326">
        <v>28</v>
      </c>
      <c r="E14" s="326">
        <v>36280</v>
      </c>
      <c r="F14" s="327">
        <v>84.15</v>
      </c>
      <c r="G14" s="326">
        <v>84.15</v>
      </c>
      <c r="H14" s="328" t="s">
        <v>633</v>
      </c>
      <c r="I14" s="327">
        <v>828.53</v>
      </c>
      <c r="J14" s="329">
        <v>73.3</v>
      </c>
      <c r="K14" s="237">
        <v>0</v>
      </c>
      <c r="L14" s="235">
        <v>0</v>
      </c>
      <c r="M14" s="238">
        <f t="shared" si="0"/>
        <v>53.988095238095241</v>
      </c>
      <c r="N14" s="239">
        <f t="shared" si="1"/>
        <v>8</v>
      </c>
      <c r="O14" s="239">
        <f t="shared" si="2"/>
        <v>2008</v>
      </c>
    </row>
    <row r="15" spans="1:15">
      <c r="A15" s="328" t="s">
        <v>787</v>
      </c>
      <c r="B15" s="328" t="s">
        <v>804</v>
      </c>
      <c r="C15" s="328" t="s">
        <v>805</v>
      </c>
      <c r="D15" s="326">
        <v>31</v>
      </c>
      <c r="E15" s="326">
        <v>39040</v>
      </c>
      <c r="F15" s="327">
        <v>82</v>
      </c>
      <c r="G15" s="326">
        <v>82</v>
      </c>
      <c r="H15" s="328" t="s">
        <v>633</v>
      </c>
      <c r="I15" s="327">
        <v>860.96</v>
      </c>
      <c r="J15" s="329">
        <v>65.2</v>
      </c>
      <c r="K15" s="237">
        <v>0</v>
      </c>
      <c r="L15" s="235">
        <v>0</v>
      </c>
      <c r="M15" s="238">
        <f t="shared" si="0"/>
        <v>52.473118279569889</v>
      </c>
      <c r="N15" s="239">
        <f t="shared" si="1"/>
        <v>9</v>
      </c>
      <c r="O15" s="239">
        <f t="shared" si="2"/>
        <v>2008</v>
      </c>
    </row>
    <row r="16" spans="1:15">
      <c r="A16" s="328" t="s">
        <v>787</v>
      </c>
      <c r="B16" s="328" t="s">
        <v>806</v>
      </c>
      <c r="C16" s="328" t="s">
        <v>738</v>
      </c>
      <c r="D16" s="326">
        <v>29</v>
      </c>
      <c r="E16" s="326">
        <v>23960</v>
      </c>
      <c r="F16" s="327">
        <v>78.25</v>
      </c>
      <c r="G16" s="326">
        <v>78.25</v>
      </c>
      <c r="H16" s="328" t="s">
        <v>633</v>
      </c>
      <c r="I16" s="327">
        <v>342.63</v>
      </c>
      <c r="J16" s="329">
        <v>53.1</v>
      </c>
      <c r="K16" s="237">
        <v>0</v>
      </c>
      <c r="L16" s="235">
        <v>0</v>
      </c>
      <c r="M16" s="238">
        <f t="shared" si="0"/>
        <v>34.425287356321839</v>
      </c>
      <c r="N16" s="239">
        <f t="shared" si="1"/>
        <v>10</v>
      </c>
      <c r="O16" s="239">
        <f t="shared" si="2"/>
        <v>2008</v>
      </c>
    </row>
    <row r="17" spans="1:15">
      <c r="A17" s="328" t="s">
        <v>787</v>
      </c>
      <c r="B17" s="328" t="s">
        <v>739</v>
      </c>
      <c r="C17" s="328" t="s">
        <v>807</v>
      </c>
      <c r="D17" s="326">
        <v>182</v>
      </c>
      <c r="E17" s="326">
        <v>4480</v>
      </c>
      <c r="F17" s="327">
        <v>82.54</v>
      </c>
      <c r="G17" s="326">
        <v>82.54</v>
      </c>
      <c r="H17" s="328" t="s">
        <v>633</v>
      </c>
      <c r="I17" s="327">
        <v>144.26</v>
      </c>
      <c r="J17" s="329">
        <v>35.299999999999997</v>
      </c>
      <c r="K17" s="237">
        <v>0</v>
      </c>
      <c r="L17" s="235">
        <v>0</v>
      </c>
      <c r="M17" s="238">
        <f t="shared" si="0"/>
        <v>1.0256410256410258</v>
      </c>
      <c r="N17" s="239">
        <f t="shared" si="1"/>
        <v>4</v>
      </c>
      <c r="O17" s="239">
        <f t="shared" si="2"/>
        <v>2009</v>
      </c>
    </row>
    <row r="18" spans="1:15">
      <c r="A18" s="328" t="s">
        <v>787</v>
      </c>
      <c r="B18" s="328" t="s">
        <v>807</v>
      </c>
      <c r="C18" s="328" t="s">
        <v>740</v>
      </c>
      <c r="D18" s="326">
        <v>28</v>
      </c>
      <c r="E18" s="326">
        <v>31880</v>
      </c>
      <c r="F18" s="327">
        <v>81.47</v>
      </c>
      <c r="G18" s="326">
        <v>81.47</v>
      </c>
      <c r="H18" s="328" t="s">
        <v>633</v>
      </c>
      <c r="I18" s="327">
        <v>808.44</v>
      </c>
      <c r="J18" s="329">
        <v>54.1</v>
      </c>
      <c r="K18" s="237">
        <v>0</v>
      </c>
      <c r="L18" s="235">
        <v>0</v>
      </c>
      <c r="M18" s="238">
        <f t="shared" si="0"/>
        <v>47.440476190476197</v>
      </c>
      <c r="N18" s="239">
        <f t="shared" si="1"/>
        <v>5</v>
      </c>
      <c r="O18" s="239">
        <f t="shared" si="2"/>
        <v>2009</v>
      </c>
    </row>
    <row r="19" spans="1:15">
      <c r="A19" s="328" t="s">
        <v>787</v>
      </c>
      <c r="B19" s="328" t="s">
        <v>741</v>
      </c>
      <c r="C19" s="328" t="s">
        <v>742</v>
      </c>
      <c r="D19" s="326">
        <v>33</v>
      </c>
      <c r="E19" s="326">
        <v>42160</v>
      </c>
      <c r="F19" s="327">
        <v>84.15</v>
      </c>
      <c r="G19" s="326">
        <v>84.15</v>
      </c>
      <c r="H19" s="328" t="s">
        <v>633</v>
      </c>
      <c r="I19" s="327">
        <v>994.76</v>
      </c>
      <c r="J19" s="329">
        <v>69.400000000000006</v>
      </c>
      <c r="K19" s="237">
        <v>0</v>
      </c>
      <c r="L19" s="235">
        <v>0</v>
      </c>
      <c r="M19" s="238">
        <f t="shared" si="0"/>
        <v>53.232323232323232</v>
      </c>
      <c r="N19" s="239">
        <f t="shared" si="1"/>
        <v>6</v>
      </c>
      <c r="O19" s="239">
        <f t="shared" si="2"/>
        <v>2009</v>
      </c>
    </row>
    <row r="20" spans="1:15">
      <c r="A20" s="328" t="s">
        <v>787</v>
      </c>
      <c r="B20" s="328" t="s">
        <v>808</v>
      </c>
      <c r="C20" s="328" t="s">
        <v>809</v>
      </c>
      <c r="D20" s="326">
        <v>34</v>
      </c>
      <c r="E20" s="326">
        <v>45280</v>
      </c>
      <c r="F20" s="327">
        <v>84.15</v>
      </c>
      <c r="G20" s="326">
        <v>84.15</v>
      </c>
      <c r="H20" s="328" t="s">
        <v>633</v>
      </c>
      <c r="I20" s="327">
        <v>1043.3800000000001</v>
      </c>
      <c r="J20" s="329">
        <v>75.5</v>
      </c>
      <c r="K20" s="237">
        <v>0</v>
      </c>
      <c r="L20" s="235">
        <v>0</v>
      </c>
      <c r="M20" s="238">
        <f t="shared" si="0"/>
        <v>55.490196078431374</v>
      </c>
      <c r="N20" s="239">
        <f t="shared" si="1"/>
        <v>7</v>
      </c>
      <c r="O20" s="239">
        <f t="shared" si="2"/>
        <v>2009</v>
      </c>
    </row>
    <row r="21" spans="1:15">
      <c r="A21" s="328" t="s">
        <v>787</v>
      </c>
      <c r="B21" s="328" t="s">
        <v>810</v>
      </c>
      <c r="C21" s="328" t="s">
        <v>811</v>
      </c>
      <c r="D21" s="326">
        <v>27</v>
      </c>
      <c r="E21" s="326">
        <v>35840</v>
      </c>
      <c r="F21" s="327">
        <v>83.08</v>
      </c>
      <c r="G21" s="326">
        <v>83.08</v>
      </c>
      <c r="H21" s="328" t="s">
        <v>633</v>
      </c>
      <c r="I21" s="327">
        <v>892.4</v>
      </c>
      <c r="J21" s="329">
        <v>76.7</v>
      </c>
      <c r="K21" s="237">
        <v>0</v>
      </c>
      <c r="L21" s="235">
        <v>0</v>
      </c>
      <c r="M21" s="238">
        <f t="shared" si="0"/>
        <v>55.308641975308639</v>
      </c>
      <c r="N21" s="239">
        <f t="shared" si="1"/>
        <v>8</v>
      </c>
      <c r="O21" s="239">
        <f t="shared" si="2"/>
        <v>2009</v>
      </c>
    </row>
    <row r="22" spans="1:15">
      <c r="A22" s="328" t="s">
        <v>787</v>
      </c>
      <c r="B22" s="328" t="s">
        <v>812</v>
      </c>
      <c r="C22" s="328" t="s">
        <v>743</v>
      </c>
      <c r="D22" s="326">
        <v>30</v>
      </c>
      <c r="E22" s="326">
        <v>36840</v>
      </c>
      <c r="F22" s="327">
        <v>84.15</v>
      </c>
      <c r="G22" s="326">
        <v>84.15</v>
      </c>
      <c r="H22" s="328" t="s">
        <v>633</v>
      </c>
      <c r="I22" s="327">
        <v>911.83</v>
      </c>
      <c r="J22" s="329">
        <v>69.7</v>
      </c>
      <c r="K22" s="237">
        <v>0</v>
      </c>
      <c r="L22" s="235">
        <v>0</v>
      </c>
      <c r="M22" s="238">
        <f t="shared" si="0"/>
        <v>51.166666666666664</v>
      </c>
      <c r="N22" s="239">
        <f t="shared" si="1"/>
        <v>9</v>
      </c>
      <c r="O22" s="239">
        <f t="shared" si="2"/>
        <v>2009</v>
      </c>
    </row>
    <row r="23" spans="1:15">
      <c r="A23" s="328" t="s">
        <v>787</v>
      </c>
      <c r="B23" s="328" t="s">
        <v>813</v>
      </c>
      <c r="C23" s="328" t="s">
        <v>814</v>
      </c>
      <c r="D23" s="326">
        <v>33</v>
      </c>
      <c r="E23" s="326">
        <v>26240</v>
      </c>
      <c r="F23" s="327">
        <v>82.54</v>
      </c>
      <c r="G23" s="326">
        <v>82.54</v>
      </c>
      <c r="H23" s="328" t="s">
        <v>633</v>
      </c>
      <c r="I23" s="327">
        <v>409</v>
      </c>
      <c r="J23" s="329">
        <v>52</v>
      </c>
      <c r="K23" s="237">
        <v>0</v>
      </c>
      <c r="L23" s="235">
        <v>0</v>
      </c>
      <c r="M23" s="238">
        <f t="shared" si="0"/>
        <v>33.131313131313128</v>
      </c>
      <c r="N23" s="239">
        <f t="shared" si="1"/>
        <v>10</v>
      </c>
      <c r="O23" s="239">
        <f t="shared" si="2"/>
        <v>2009</v>
      </c>
    </row>
    <row r="24" spans="1:15">
      <c r="A24" s="328" t="s">
        <v>787</v>
      </c>
      <c r="B24" s="328" t="s">
        <v>815</v>
      </c>
      <c r="C24" s="328" t="s">
        <v>744</v>
      </c>
      <c r="D24" s="326">
        <v>179</v>
      </c>
      <c r="E24" s="326">
        <v>10000</v>
      </c>
      <c r="F24" s="327">
        <v>84.15</v>
      </c>
      <c r="G24" s="326">
        <v>84.15</v>
      </c>
      <c r="H24" s="328" t="s">
        <v>633</v>
      </c>
      <c r="I24" s="327">
        <v>350.98</v>
      </c>
      <c r="J24" s="329">
        <v>38</v>
      </c>
      <c r="K24" s="237">
        <v>0</v>
      </c>
      <c r="L24" s="235">
        <v>0</v>
      </c>
      <c r="M24" s="238">
        <f t="shared" si="0"/>
        <v>2.3277467411545625</v>
      </c>
      <c r="N24" s="239">
        <f t="shared" si="1"/>
        <v>4</v>
      </c>
      <c r="O24" s="239">
        <f t="shared" si="2"/>
        <v>2010</v>
      </c>
    </row>
    <row r="25" spans="1:15">
      <c r="A25" s="328" t="s">
        <v>787</v>
      </c>
      <c r="B25" s="328" t="s">
        <v>816</v>
      </c>
      <c r="C25" s="328" t="s">
        <v>745</v>
      </c>
      <c r="D25" s="326">
        <v>32</v>
      </c>
      <c r="E25" s="326">
        <v>38440</v>
      </c>
      <c r="F25" s="327">
        <v>80.400000000000006</v>
      </c>
      <c r="G25" s="326">
        <v>80.400000000000006</v>
      </c>
      <c r="H25" s="328" t="s">
        <v>633</v>
      </c>
      <c r="I25" s="327">
        <v>921.42</v>
      </c>
      <c r="J25" s="329">
        <v>54.3</v>
      </c>
      <c r="K25" s="237">
        <v>0</v>
      </c>
      <c r="L25" s="235">
        <v>0</v>
      </c>
      <c r="M25" s="238">
        <f t="shared" si="0"/>
        <v>50.052083333333336</v>
      </c>
      <c r="N25" s="239">
        <f t="shared" si="1"/>
        <v>5</v>
      </c>
      <c r="O25" s="239">
        <f t="shared" si="2"/>
        <v>2010</v>
      </c>
    </row>
    <row r="26" spans="1:15">
      <c r="A26" s="328" t="s">
        <v>787</v>
      </c>
      <c r="B26" s="328" t="s">
        <v>817</v>
      </c>
      <c r="C26" s="328" t="s">
        <v>746</v>
      </c>
      <c r="D26" s="326">
        <v>30</v>
      </c>
      <c r="E26" s="326">
        <v>37200</v>
      </c>
      <c r="F26" s="327">
        <v>79.319999999999993</v>
      </c>
      <c r="G26" s="326">
        <v>79.319999999999993</v>
      </c>
      <c r="H26" s="328" t="s">
        <v>633</v>
      </c>
      <c r="I26" s="327">
        <v>898.26</v>
      </c>
      <c r="J26" s="329">
        <v>61.2</v>
      </c>
      <c r="K26" s="237">
        <v>0</v>
      </c>
      <c r="L26" s="235">
        <v>0</v>
      </c>
      <c r="M26" s="238">
        <f t="shared" si="0"/>
        <v>51.666666666666664</v>
      </c>
      <c r="N26" s="239">
        <f t="shared" si="1"/>
        <v>6</v>
      </c>
      <c r="O26" s="239">
        <f t="shared" si="2"/>
        <v>2010</v>
      </c>
    </row>
    <row r="27" spans="1:15">
      <c r="A27" s="328" t="s">
        <v>787</v>
      </c>
      <c r="B27" s="328" t="s">
        <v>818</v>
      </c>
      <c r="C27" s="328" t="s">
        <v>747</v>
      </c>
      <c r="D27" s="326">
        <v>29</v>
      </c>
      <c r="E27" s="326">
        <v>38520</v>
      </c>
      <c r="F27" s="327">
        <v>84.68</v>
      </c>
      <c r="G27" s="326">
        <v>84.68</v>
      </c>
      <c r="H27" s="328" t="s">
        <v>633</v>
      </c>
      <c r="I27" s="327">
        <v>941.86</v>
      </c>
      <c r="J27" s="329">
        <v>71.900000000000006</v>
      </c>
      <c r="K27" s="237">
        <v>0</v>
      </c>
      <c r="L27" s="235">
        <v>0</v>
      </c>
      <c r="M27" s="238">
        <f t="shared" si="0"/>
        <v>55.344827586206897</v>
      </c>
      <c r="N27" s="239">
        <f t="shared" si="1"/>
        <v>7</v>
      </c>
      <c r="O27" s="239">
        <f t="shared" si="2"/>
        <v>2010</v>
      </c>
    </row>
    <row r="28" spans="1:15">
      <c r="A28" s="328" t="s">
        <v>787</v>
      </c>
      <c r="B28" s="328" t="s">
        <v>748</v>
      </c>
      <c r="C28" s="328" t="s">
        <v>819</v>
      </c>
      <c r="D28" s="326">
        <v>33</v>
      </c>
      <c r="E28" s="326">
        <v>42120</v>
      </c>
      <c r="F28" s="327">
        <v>84.15</v>
      </c>
      <c r="G28" s="326">
        <v>84.15</v>
      </c>
      <c r="H28" s="328" t="s">
        <v>633</v>
      </c>
      <c r="I28" s="327">
        <v>994.13</v>
      </c>
      <c r="J28" s="329">
        <v>75.3</v>
      </c>
      <c r="K28" s="237">
        <v>0</v>
      </c>
      <c r="L28" s="235">
        <v>0</v>
      </c>
      <c r="M28" s="238">
        <f t="shared" si="0"/>
        <v>53.18181818181818</v>
      </c>
      <c r="N28" s="239">
        <f t="shared" si="1"/>
        <v>8</v>
      </c>
      <c r="O28" s="239">
        <f t="shared" si="2"/>
        <v>2010</v>
      </c>
    </row>
    <row r="29" spans="1:15">
      <c r="A29" s="328" t="s">
        <v>787</v>
      </c>
      <c r="B29" s="328" t="s">
        <v>820</v>
      </c>
      <c r="C29" s="328" t="s">
        <v>821</v>
      </c>
      <c r="D29" s="326">
        <v>33</v>
      </c>
      <c r="E29" s="326">
        <v>41200</v>
      </c>
      <c r="F29" s="327">
        <v>83.61</v>
      </c>
      <c r="G29" s="326">
        <v>83.61</v>
      </c>
      <c r="H29" s="328" t="s">
        <v>633</v>
      </c>
      <c r="I29" s="327">
        <v>979.79</v>
      </c>
      <c r="J29" s="329">
        <v>62.6</v>
      </c>
      <c r="K29" s="237">
        <v>0</v>
      </c>
      <c r="L29" s="235">
        <v>0</v>
      </c>
      <c r="M29" s="238">
        <f t="shared" si="0"/>
        <v>52.020202020202021</v>
      </c>
      <c r="N29" s="239">
        <f t="shared" si="1"/>
        <v>9</v>
      </c>
      <c r="O29" s="239">
        <f t="shared" si="2"/>
        <v>2010</v>
      </c>
    </row>
    <row r="30" spans="1:15">
      <c r="A30" s="328" t="s">
        <v>787</v>
      </c>
      <c r="B30" s="328" t="s">
        <v>822</v>
      </c>
      <c r="C30" s="328" t="s">
        <v>823</v>
      </c>
      <c r="D30" s="326">
        <v>29</v>
      </c>
      <c r="E30" s="326">
        <v>16840</v>
      </c>
      <c r="F30" s="327">
        <v>75.040000000000006</v>
      </c>
      <c r="G30" s="326">
        <v>75.040000000000006</v>
      </c>
      <c r="H30" s="328" t="s">
        <v>633</v>
      </c>
      <c r="I30" s="327">
        <v>262.48</v>
      </c>
      <c r="J30" s="329">
        <v>54.8</v>
      </c>
      <c r="K30" s="237">
        <v>0</v>
      </c>
      <c r="L30" s="235">
        <v>0</v>
      </c>
      <c r="M30" s="238">
        <f t="shared" si="0"/>
        <v>24.195402298850578</v>
      </c>
      <c r="N30" s="239">
        <f t="shared" si="1"/>
        <v>10</v>
      </c>
      <c r="O30" s="239">
        <f t="shared" si="2"/>
        <v>2010</v>
      </c>
    </row>
    <row r="31" spans="1:15">
      <c r="A31" s="328" t="s">
        <v>787</v>
      </c>
      <c r="B31" s="328" t="s">
        <v>824</v>
      </c>
      <c r="C31" s="328" t="s">
        <v>749</v>
      </c>
      <c r="D31" s="326">
        <v>178</v>
      </c>
      <c r="E31" s="326">
        <v>4440</v>
      </c>
      <c r="F31" s="327">
        <v>86.29</v>
      </c>
      <c r="G31" s="326">
        <v>86.29</v>
      </c>
      <c r="H31" s="328" t="s">
        <v>633</v>
      </c>
      <c r="I31" s="327">
        <v>158.01</v>
      </c>
      <c r="J31" s="329">
        <v>35.200000000000003</v>
      </c>
      <c r="K31" s="237">
        <v>0</v>
      </c>
      <c r="L31" s="235">
        <v>0</v>
      </c>
      <c r="M31" s="238">
        <f t="shared" si="0"/>
        <v>1.0393258426966292</v>
      </c>
      <c r="N31" s="239">
        <f t="shared" si="1"/>
        <v>4</v>
      </c>
      <c r="O31" s="239">
        <f t="shared" si="2"/>
        <v>2011</v>
      </c>
    </row>
    <row r="32" spans="1:15">
      <c r="A32" s="328" t="s">
        <v>787</v>
      </c>
      <c r="B32" s="328" t="s">
        <v>750</v>
      </c>
      <c r="C32" s="328" t="s">
        <v>751</v>
      </c>
      <c r="D32" s="326">
        <v>32</v>
      </c>
      <c r="E32" s="326">
        <v>36360</v>
      </c>
      <c r="F32" s="327">
        <v>81.47</v>
      </c>
      <c r="G32" s="326">
        <v>81.47</v>
      </c>
      <c r="H32" s="328" t="s">
        <v>633</v>
      </c>
      <c r="I32" s="327">
        <v>892.84</v>
      </c>
      <c r="J32" s="329">
        <v>52.3</v>
      </c>
      <c r="K32" s="237">
        <v>0</v>
      </c>
      <c r="L32" s="235">
        <v>0</v>
      </c>
      <c r="M32" s="238">
        <f t="shared" si="0"/>
        <v>47.34375</v>
      </c>
      <c r="N32" s="239">
        <f t="shared" si="1"/>
        <v>5</v>
      </c>
      <c r="O32" s="239">
        <f t="shared" si="2"/>
        <v>2011</v>
      </c>
    </row>
    <row r="33" spans="1:15">
      <c r="A33" s="328" t="s">
        <v>787</v>
      </c>
      <c r="B33" s="328" t="s">
        <v>752</v>
      </c>
      <c r="C33" s="328" t="s">
        <v>753</v>
      </c>
      <c r="D33" s="326">
        <v>30</v>
      </c>
      <c r="E33" s="326">
        <v>33080</v>
      </c>
      <c r="F33" s="327">
        <v>78.25</v>
      </c>
      <c r="G33" s="326">
        <v>78.25</v>
      </c>
      <c r="H33" s="328" t="s">
        <v>633</v>
      </c>
      <c r="I33" s="327">
        <v>830.2</v>
      </c>
      <c r="J33" s="329">
        <v>61.2</v>
      </c>
      <c r="K33" s="237">
        <v>0</v>
      </c>
      <c r="L33" s="235">
        <v>0</v>
      </c>
      <c r="M33" s="238">
        <f t="shared" si="0"/>
        <v>45.94444444444445</v>
      </c>
      <c r="N33" s="239">
        <f t="shared" si="1"/>
        <v>6</v>
      </c>
      <c r="O33" s="239">
        <f t="shared" si="2"/>
        <v>2011</v>
      </c>
    </row>
    <row r="34" spans="1:15">
      <c r="A34" s="328" t="s">
        <v>787</v>
      </c>
      <c r="B34" s="328" t="s">
        <v>825</v>
      </c>
      <c r="C34" s="328" t="s">
        <v>826</v>
      </c>
      <c r="D34" s="326">
        <v>34</v>
      </c>
      <c r="E34" s="326">
        <v>40680</v>
      </c>
      <c r="F34" s="327">
        <v>82</v>
      </c>
      <c r="G34" s="326">
        <v>82</v>
      </c>
      <c r="H34" s="328" t="s">
        <v>633</v>
      </c>
      <c r="I34" s="327">
        <v>964.01</v>
      </c>
      <c r="J34" s="329">
        <v>68.099999999999994</v>
      </c>
      <c r="K34" s="237">
        <v>0</v>
      </c>
      <c r="L34" s="235">
        <v>0</v>
      </c>
      <c r="M34" s="238">
        <f t="shared" si="0"/>
        <v>49.852941176470587</v>
      </c>
      <c r="N34" s="239">
        <f t="shared" si="1"/>
        <v>7</v>
      </c>
      <c r="O34" s="239">
        <f t="shared" si="2"/>
        <v>2011</v>
      </c>
    </row>
    <row r="35" spans="1:15">
      <c r="A35" s="328" t="s">
        <v>787</v>
      </c>
      <c r="B35" s="328" t="s">
        <v>827</v>
      </c>
      <c r="C35" s="328" t="s">
        <v>754</v>
      </c>
      <c r="D35" s="326">
        <v>28</v>
      </c>
      <c r="E35" s="326">
        <v>34160</v>
      </c>
      <c r="F35" s="327">
        <v>83.61</v>
      </c>
      <c r="G35" s="326">
        <v>83.61</v>
      </c>
      <c r="H35" s="328" t="s">
        <v>633</v>
      </c>
      <c r="I35" s="327">
        <v>870.06</v>
      </c>
      <c r="J35" s="329">
        <v>74.3</v>
      </c>
      <c r="K35" s="237">
        <v>0</v>
      </c>
      <c r="L35" s="235">
        <v>0</v>
      </c>
      <c r="M35" s="238">
        <f t="shared" si="0"/>
        <v>50.833333333333336</v>
      </c>
      <c r="N35" s="239">
        <f t="shared" si="1"/>
        <v>8</v>
      </c>
      <c r="O35" s="239">
        <f t="shared" si="2"/>
        <v>2011</v>
      </c>
    </row>
    <row r="36" spans="1:15">
      <c r="A36" s="328" t="s">
        <v>787</v>
      </c>
      <c r="B36" s="328" t="s">
        <v>755</v>
      </c>
      <c r="C36" s="328" t="s">
        <v>756</v>
      </c>
      <c r="D36" s="326">
        <v>30</v>
      </c>
      <c r="E36" s="326">
        <v>34960</v>
      </c>
      <c r="F36" s="327">
        <v>80.400000000000006</v>
      </c>
      <c r="G36" s="326">
        <v>80.400000000000006</v>
      </c>
      <c r="H36" s="328" t="s">
        <v>633</v>
      </c>
      <c r="I36" s="327">
        <v>867.18</v>
      </c>
      <c r="J36" s="329">
        <v>71.400000000000006</v>
      </c>
      <c r="K36" s="237">
        <v>0</v>
      </c>
      <c r="L36" s="235">
        <v>0</v>
      </c>
      <c r="M36" s="238">
        <f t="shared" si="0"/>
        <v>48.55555555555555</v>
      </c>
      <c r="N36" s="239">
        <f t="shared" si="1"/>
        <v>9</v>
      </c>
      <c r="O36" s="239">
        <f t="shared" si="2"/>
        <v>2011</v>
      </c>
    </row>
    <row r="37" spans="1:15">
      <c r="A37" s="328" t="s">
        <v>787</v>
      </c>
      <c r="B37" s="328" t="s">
        <v>828</v>
      </c>
      <c r="C37" s="328" t="s">
        <v>757</v>
      </c>
      <c r="D37" s="326">
        <v>31</v>
      </c>
      <c r="E37" s="326">
        <v>24080</v>
      </c>
      <c r="F37" s="327">
        <v>72.89</v>
      </c>
      <c r="G37" s="326">
        <v>72.89</v>
      </c>
      <c r="H37" s="328" t="s">
        <v>633</v>
      </c>
      <c r="I37" s="327">
        <v>375.33</v>
      </c>
      <c r="J37" s="329">
        <v>55.6</v>
      </c>
      <c r="K37" s="237">
        <v>0</v>
      </c>
      <c r="L37" s="235">
        <v>0</v>
      </c>
      <c r="M37" s="238">
        <f t="shared" si="0"/>
        <v>32.365591397849464</v>
      </c>
      <c r="N37" s="239">
        <f t="shared" si="1"/>
        <v>10</v>
      </c>
      <c r="O37" s="239">
        <f t="shared" si="2"/>
        <v>2011</v>
      </c>
    </row>
    <row r="38" spans="1:15">
      <c r="A38" s="328" t="s">
        <v>787</v>
      </c>
      <c r="B38" s="328" t="s">
        <v>758</v>
      </c>
      <c r="C38" s="328" t="s">
        <v>759</v>
      </c>
      <c r="D38" s="326">
        <v>183</v>
      </c>
      <c r="E38" s="326">
        <v>0</v>
      </c>
      <c r="F38" s="327">
        <v>0</v>
      </c>
      <c r="G38" s="326">
        <v>0</v>
      </c>
      <c r="H38" s="328" t="s">
        <v>633</v>
      </c>
      <c r="I38" s="327">
        <v>0</v>
      </c>
      <c r="J38" s="329">
        <v>36.200000000000003</v>
      </c>
      <c r="K38" s="237">
        <v>0</v>
      </c>
      <c r="L38" s="235">
        <v>0</v>
      </c>
      <c r="M38" s="238">
        <f t="shared" si="0"/>
        <v>0</v>
      </c>
      <c r="N38" s="239">
        <f t="shared" si="1"/>
        <v>4</v>
      </c>
      <c r="O38" s="239">
        <f t="shared" si="2"/>
        <v>2012</v>
      </c>
    </row>
    <row r="39" spans="1:15">
      <c r="A39" s="328" t="s">
        <v>787</v>
      </c>
      <c r="B39" s="328" t="s">
        <v>829</v>
      </c>
      <c r="C39" s="328" t="s">
        <v>830</v>
      </c>
      <c r="D39" s="326">
        <v>29</v>
      </c>
      <c r="E39" s="326">
        <v>39360</v>
      </c>
      <c r="F39" s="327">
        <v>84.68</v>
      </c>
      <c r="G39" s="326">
        <v>84.68</v>
      </c>
      <c r="H39" s="328" t="s">
        <v>633</v>
      </c>
      <c r="I39" s="327">
        <v>963.14</v>
      </c>
      <c r="J39" s="329">
        <v>57.1</v>
      </c>
      <c r="K39" s="237">
        <v>0</v>
      </c>
      <c r="L39" s="235">
        <v>0</v>
      </c>
      <c r="M39" s="238">
        <f t="shared" si="0"/>
        <v>56.551724137931039</v>
      </c>
      <c r="N39" s="239">
        <f t="shared" si="1"/>
        <v>5</v>
      </c>
      <c r="O39" s="239">
        <f t="shared" si="2"/>
        <v>2012</v>
      </c>
    </row>
    <row r="40" spans="1:15">
      <c r="A40" s="328" t="s">
        <v>787</v>
      </c>
      <c r="B40" s="328" t="s">
        <v>831</v>
      </c>
      <c r="C40" s="328" t="s">
        <v>832</v>
      </c>
      <c r="D40" s="326">
        <v>30</v>
      </c>
      <c r="E40" s="326">
        <v>33280</v>
      </c>
      <c r="F40" s="327">
        <v>83.08</v>
      </c>
      <c r="G40" s="326">
        <v>83.08</v>
      </c>
      <c r="H40" s="328" t="s">
        <v>633</v>
      </c>
      <c r="I40" s="327">
        <v>855.78</v>
      </c>
      <c r="J40" s="329">
        <v>62.5</v>
      </c>
      <c r="K40" s="237">
        <v>0</v>
      </c>
      <c r="L40" s="235">
        <v>0</v>
      </c>
      <c r="M40" s="238">
        <f t="shared" si="0"/>
        <v>46.222222222222221</v>
      </c>
      <c r="N40" s="239">
        <f t="shared" si="1"/>
        <v>6</v>
      </c>
      <c r="O40" s="239">
        <f t="shared" si="2"/>
        <v>2012</v>
      </c>
    </row>
    <row r="41" spans="1:15">
      <c r="A41" s="436" t="s">
        <v>787</v>
      </c>
      <c r="B41" s="328" t="s">
        <v>833</v>
      </c>
      <c r="C41" s="328" t="s">
        <v>834</v>
      </c>
      <c r="D41" s="326">
        <v>32</v>
      </c>
      <c r="E41" s="326">
        <v>19560</v>
      </c>
      <c r="F41" s="327">
        <v>161.87</v>
      </c>
      <c r="G41" s="326">
        <v>161.80000000000001</v>
      </c>
      <c r="H41" s="328" t="s">
        <v>633</v>
      </c>
      <c r="I41" s="327">
        <v>907.48</v>
      </c>
      <c r="J41" s="329">
        <v>73.5</v>
      </c>
      <c r="K41" s="237">
        <v>0</v>
      </c>
      <c r="L41" s="235">
        <v>0</v>
      </c>
      <c r="M41" s="238">
        <f t="shared" si="0"/>
        <v>25.46875</v>
      </c>
      <c r="N41" s="239">
        <f t="shared" si="1"/>
        <v>7</v>
      </c>
      <c r="O41" s="239">
        <f t="shared" si="2"/>
        <v>2012</v>
      </c>
    </row>
    <row r="42" spans="1:15">
      <c r="M42" s="238" t="str">
        <f t="shared" si="0"/>
        <v/>
      </c>
      <c r="N42" s="239" t="str">
        <f t="shared" si="1"/>
        <v/>
      </c>
      <c r="O42" s="239" t="str">
        <f t="shared" si="2"/>
        <v/>
      </c>
    </row>
    <row r="43" spans="1:15">
      <c r="M43" s="238" t="str">
        <f t="shared" si="0"/>
        <v/>
      </c>
      <c r="N43" s="239" t="str">
        <f t="shared" si="1"/>
        <v/>
      </c>
      <c r="O43" s="239" t="str">
        <f t="shared" si="2"/>
        <v/>
      </c>
    </row>
    <row r="44" spans="1:15">
      <c r="M44" s="238" t="str">
        <f t="shared" si="0"/>
        <v/>
      </c>
      <c r="N44" s="239" t="str">
        <f t="shared" si="1"/>
        <v/>
      </c>
      <c r="O44" s="239" t="str">
        <f t="shared" si="2"/>
        <v/>
      </c>
    </row>
    <row r="45" spans="1:15">
      <c r="M45" s="238" t="str">
        <f t="shared" si="0"/>
        <v/>
      </c>
      <c r="N45" s="239" t="str">
        <f t="shared" si="1"/>
        <v/>
      </c>
      <c r="O45" s="239" t="str">
        <f t="shared" si="2"/>
        <v/>
      </c>
    </row>
    <row r="46" spans="1:15">
      <c r="M46" s="238" t="str">
        <f t="shared" si="0"/>
        <v/>
      </c>
      <c r="N46" s="239" t="str">
        <f t="shared" si="1"/>
        <v/>
      </c>
      <c r="O46" s="239" t="str">
        <f t="shared" si="2"/>
        <v/>
      </c>
    </row>
    <row r="47" spans="1:15">
      <c r="M47" s="238" t="str">
        <f t="shared" si="0"/>
        <v/>
      </c>
      <c r="N47" s="239" t="str">
        <f t="shared" si="1"/>
        <v/>
      </c>
      <c r="O47" s="239" t="str">
        <f t="shared" si="2"/>
        <v/>
      </c>
    </row>
    <row r="48" spans="1:15">
      <c r="M48" s="238" t="str">
        <f t="shared" si="0"/>
        <v/>
      </c>
      <c r="N48" s="239" t="str">
        <f t="shared" si="1"/>
        <v/>
      </c>
      <c r="O48" s="239" t="str">
        <f t="shared" si="2"/>
        <v/>
      </c>
    </row>
    <row r="49" spans="13:15">
      <c r="M49" s="238" t="str">
        <f t="shared" si="0"/>
        <v/>
      </c>
      <c r="N49" s="239" t="str">
        <f t="shared" si="1"/>
        <v/>
      </c>
      <c r="O49" s="239" t="str">
        <f t="shared" si="2"/>
        <v/>
      </c>
    </row>
    <row r="50" spans="13:15">
      <c r="M50" s="238" t="str">
        <f t="shared" si="0"/>
        <v/>
      </c>
      <c r="N50" s="239" t="str">
        <f t="shared" si="1"/>
        <v/>
      </c>
      <c r="O50" s="239" t="str">
        <f t="shared" si="2"/>
        <v/>
      </c>
    </row>
    <row r="51" spans="13:15">
      <c r="M51" s="238" t="str">
        <f t="shared" ref="M51:M53" si="3">IF(D51="","",E51/D51/24)</f>
        <v/>
      </c>
      <c r="N51" s="239" t="str">
        <f t="shared" ref="N51:N53" si="4">IF(C51="","",MONTH(C51))</f>
        <v/>
      </c>
      <c r="O51" s="239" t="str">
        <f t="shared" ref="O51:O53" si="5">IF(C51="","",YEAR(C51))</f>
        <v/>
      </c>
    </row>
    <row r="52" spans="13:15">
      <c r="M52" s="238" t="str">
        <f t="shared" si="3"/>
        <v/>
      </c>
      <c r="N52" s="239" t="str">
        <f t="shared" si="4"/>
        <v/>
      </c>
      <c r="O52" s="239" t="str">
        <f t="shared" si="5"/>
        <v/>
      </c>
    </row>
    <row r="53" spans="13:15">
      <c r="M53" s="238" t="str">
        <f t="shared" si="3"/>
        <v/>
      </c>
      <c r="N53" s="239" t="str">
        <f t="shared" si="4"/>
        <v/>
      </c>
      <c r="O53" s="239" t="str">
        <f t="shared" si="5"/>
        <v/>
      </c>
    </row>
  </sheetData>
  <mergeCells count="1">
    <mergeCell ref="M1:O1"/>
  </mergeCells>
  <pageMargins left="0.75" right="0.75" top="1" bottom="1" header="0.5" footer="0.5"/>
</worksheet>
</file>

<file path=xl/worksheets/sheet7.xml><?xml version="1.0" encoding="utf-8"?>
<worksheet xmlns="http://schemas.openxmlformats.org/spreadsheetml/2006/main" xmlns:r="http://schemas.openxmlformats.org/officeDocument/2006/relationships">
  <sheetPr codeName="Sheet8"/>
  <dimension ref="A1:Y40"/>
  <sheetViews>
    <sheetView topLeftCell="F1" workbookViewId="0">
      <selection activeCell="Y5" sqref="Y5"/>
    </sheetView>
  </sheetViews>
  <sheetFormatPr defaultRowHeight="15"/>
  <cols>
    <col min="1" max="1" width="18.625" style="220" customWidth="1"/>
    <col min="2" max="2" width="14.125" style="220" customWidth="1"/>
    <col min="3" max="6" width="5.75" style="220" customWidth="1"/>
    <col min="7" max="7" width="10.5" style="220" customWidth="1"/>
    <col min="8" max="8" width="1.75" style="220" customWidth="1"/>
    <col min="9" max="9" width="5.625" style="220" customWidth="1"/>
    <col min="10" max="10" width="10.5" style="220" customWidth="1"/>
    <col min="11" max="11" width="1.75" style="220" customWidth="1"/>
    <col min="12" max="13" width="4.375" style="220" customWidth="1"/>
    <col min="14" max="14" width="11" style="220" customWidth="1"/>
    <col min="15" max="15" width="11.875" style="220" bestFit="1" customWidth="1"/>
    <col min="16" max="22" width="9" style="220"/>
    <col min="23" max="23" width="11.625" style="220" bestFit="1" customWidth="1"/>
    <col min="24" max="16384" width="9" style="220"/>
  </cols>
  <sheetData>
    <row r="1" spans="1:25">
      <c r="C1" s="221" t="s">
        <v>685</v>
      </c>
      <c r="D1" s="222">
        <f>'VFD Calculations'!B2</f>
        <v>2011</v>
      </c>
      <c r="H1" s="221" t="s">
        <v>684</v>
      </c>
      <c r="I1" s="222">
        <f>'VFD Calculations'!B3</f>
        <v>400</v>
      </c>
    </row>
    <row r="2" spans="1:25">
      <c r="A2" s="223" t="s">
        <v>636</v>
      </c>
      <c r="P2" s="557" t="s">
        <v>659</v>
      </c>
      <c r="Q2" s="557"/>
      <c r="R2" s="557"/>
      <c r="S2" s="557"/>
      <c r="T2" s="557"/>
      <c r="U2" s="557"/>
      <c r="V2" s="557"/>
      <c r="W2" s="557"/>
      <c r="X2" s="557"/>
      <c r="Y2" s="557"/>
    </row>
    <row r="3" spans="1:25" ht="15.75">
      <c r="A3" s="224" t="s">
        <v>643</v>
      </c>
      <c r="B3" s="224" t="s">
        <v>642</v>
      </c>
      <c r="I3"/>
      <c r="J3"/>
      <c r="K3"/>
      <c r="L3"/>
      <c r="M3"/>
      <c r="P3" s="225"/>
      <c r="Q3" s="225"/>
      <c r="R3" s="225"/>
      <c r="S3" s="225"/>
      <c r="T3" s="225"/>
      <c r="U3" s="225"/>
      <c r="V3" s="225"/>
      <c r="W3" s="225"/>
      <c r="X3" s="225"/>
      <c r="Y3" s="225"/>
    </row>
    <row r="4" spans="1:25" ht="15.75">
      <c r="A4" s="224" t="s">
        <v>640</v>
      </c>
      <c r="B4" s="220">
        <v>2007</v>
      </c>
      <c r="C4" s="220">
        <v>2008</v>
      </c>
      <c r="D4" s="220">
        <v>2009</v>
      </c>
      <c r="E4" s="220">
        <v>2010</v>
      </c>
      <c r="F4" s="220">
        <v>2011</v>
      </c>
      <c r="G4" s="220">
        <v>2012</v>
      </c>
      <c r="I4"/>
      <c r="J4"/>
      <c r="K4"/>
      <c r="L4"/>
      <c r="M4"/>
      <c r="P4" s="186" t="s">
        <v>637</v>
      </c>
      <c r="Q4" s="186" t="s">
        <v>651</v>
      </c>
      <c r="R4" s="186" t="s">
        <v>652</v>
      </c>
      <c r="S4" s="186" t="s">
        <v>653</v>
      </c>
      <c r="T4" s="186" t="s">
        <v>654</v>
      </c>
      <c r="U4" s="186" t="s">
        <v>655</v>
      </c>
      <c r="V4" s="186" t="s">
        <v>656</v>
      </c>
      <c r="W4" s="186" t="str">
        <f>"Last Year " &amp; D1</f>
        <v>Last Year 2011</v>
      </c>
      <c r="X4" s="186" t="s">
        <v>835</v>
      </c>
      <c r="Y4" s="186" t="s">
        <v>657</v>
      </c>
    </row>
    <row r="5" spans="1:25" ht="15.75">
      <c r="A5" s="222">
        <v>4</v>
      </c>
      <c r="B5" s="226">
        <v>4.3071161048689133</v>
      </c>
      <c r="C5" s="226">
        <v>2.1657250470809792</v>
      </c>
      <c r="D5" s="226">
        <v>1.0256410256410258</v>
      </c>
      <c r="E5" s="226">
        <v>2.3277467411545625</v>
      </c>
      <c r="F5" s="226">
        <v>1.0393258426966292</v>
      </c>
      <c r="G5" s="226">
        <v>0</v>
      </c>
      <c r="H5" s="227"/>
      <c r="I5"/>
      <c r="J5"/>
      <c r="K5"/>
      <c r="L5"/>
      <c r="M5"/>
      <c r="P5" s="219" t="s">
        <v>644</v>
      </c>
      <c r="Q5" s="228">
        <f>QUARTILE(B5:F5,1)</f>
        <v>1.0393258426966292</v>
      </c>
      <c r="R5" s="228">
        <f>MIN(B5:F5)</f>
        <v>1.0256410256410258</v>
      </c>
      <c r="S5" s="228">
        <f>MEDIAN(B5:F5)</f>
        <v>2.1657250470809792</v>
      </c>
      <c r="T5" s="228">
        <f>MAX(B5:F5)</f>
        <v>4.3071161048689133</v>
      </c>
      <c r="U5" s="228">
        <f>QUARTILE(B5:F5,3)</f>
        <v>2.3277467411545625</v>
      </c>
      <c r="V5" s="228">
        <f>AVERAGE(B5:F5)</f>
        <v>2.1731109522884218</v>
      </c>
      <c r="W5" s="228">
        <f>GETPIVOTDATA("Average Power", A3,"Month",A5,"Year",$D$1)</f>
        <v>1.0393258426966292</v>
      </c>
      <c r="X5" s="229">
        <f>V5*(1-$T$30)</f>
        <v>2.1731109522884218</v>
      </c>
      <c r="Y5" s="229">
        <f>V5*(1-$U$30)</f>
        <v>2.1731109522884218</v>
      </c>
    </row>
    <row r="6" spans="1:25" ht="15.75">
      <c r="A6" s="222">
        <v>5</v>
      </c>
      <c r="B6" s="226">
        <v>48.86904761904762</v>
      </c>
      <c r="C6" s="226">
        <v>49.5</v>
      </c>
      <c r="D6" s="226">
        <v>47.440476190476197</v>
      </c>
      <c r="E6" s="226">
        <v>50.052083333333336</v>
      </c>
      <c r="F6" s="226">
        <v>47.34375</v>
      </c>
      <c r="G6" s="227">
        <v>56.551724137931039</v>
      </c>
      <c r="H6" s="227"/>
      <c r="I6"/>
      <c r="J6"/>
      <c r="K6"/>
      <c r="L6"/>
      <c r="M6"/>
      <c r="P6" s="219" t="s">
        <v>645</v>
      </c>
      <c r="Q6" s="228">
        <f t="shared" ref="Q6:Q11" si="0">QUARTILE(B6:F6,1)</f>
        <v>47.440476190476197</v>
      </c>
      <c r="R6" s="228">
        <f t="shared" ref="R6:R11" si="1">MIN(B6:F6)</f>
        <v>47.34375</v>
      </c>
      <c r="S6" s="228">
        <f t="shared" ref="S6:S11" si="2">MEDIAN(B6:F6)</f>
        <v>48.86904761904762</v>
      </c>
      <c r="T6" s="228">
        <f t="shared" ref="T6:T11" si="3">MAX(B6:F6)</f>
        <v>50.052083333333336</v>
      </c>
      <c r="U6" s="228">
        <f t="shared" ref="U6:U11" si="4">QUARTILE(B6:F6,3)</f>
        <v>49.5</v>
      </c>
      <c r="V6" s="228">
        <f t="shared" ref="V6:V11" si="5">AVERAGE(B6:F6)</f>
        <v>48.641071428571436</v>
      </c>
      <c r="W6" s="228">
        <f t="shared" ref="W6:W11" si="6">GETPIVOTDATA("Average Power", A4,"Month",A6,"Year",$D$1)</f>
        <v>47.34375</v>
      </c>
      <c r="X6" s="229">
        <f t="shared" ref="X6:X11" si="7">V6*(1-$T$30)</f>
        <v>48.641071428571436</v>
      </c>
      <c r="Y6" s="229">
        <f t="shared" ref="Y6:Y11" si="8">V6*(1-$U$30)</f>
        <v>48.641071428571436</v>
      </c>
    </row>
    <row r="7" spans="1:25" ht="15.75">
      <c r="A7" s="222">
        <v>6</v>
      </c>
      <c r="B7" s="226">
        <v>52.1875</v>
      </c>
      <c r="C7" s="226">
        <v>50.3125</v>
      </c>
      <c r="D7" s="226">
        <v>53.232323232323232</v>
      </c>
      <c r="E7" s="226">
        <v>51.666666666666664</v>
      </c>
      <c r="F7" s="226">
        <v>45.94444444444445</v>
      </c>
      <c r="G7" s="227">
        <v>46.222222222222221</v>
      </c>
      <c r="H7" s="227"/>
      <c r="I7"/>
      <c r="J7"/>
      <c r="K7"/>
      <c r="L7"/>
      <c r="M7"/>
      <c r="P7" s="219" t="s">
        <v>646</v>
      </c>
      <c r="Q7" s="228">
        <f t="shared" si="0"/>
        <v>50.3125</v>
      </c>
      <c r="R7" s="228">
        <f t="shared" si="1"/>
        <v>45.94444444444445</v>
      </c>
      <c r="S7" s="228">
        <f t="shared" si="2"/>
        <v>51.666666666666664</v>
      </c>
      <c r="T7" s="228">
        <f t="shared" si="3"/>
        <v>53.232323232323232</v>
      </c>
      <c r="U7" s="228">
        <f t="shared" si="4"/>
        <v>52.1875</v>
      </c>
      <c r="V7" s="228">
        <f t="shared" si="5"/>
        <v>50.668686868686869</v>
      </c>
      <c r="W7" s="228">
        <f t="shared" si="6"/>
        <v>45.94444444444445</v>
      </c>
      <c r="X7" s="229">
        <f t="shared" si="7"/>
        <v>50.668686868686869</v>
      </c>
      <c r="Y7" s="229">
        <f t="shared" si="8"/>
        <v>50.668686868686869</v>
      </c>
    </row>
    <row r="8" spans="1:25" ht="15.75">
      <c r="A8" s="222">
        <v>7</v>
      </c>
      <c r="B8" s="226">
        <v>54.310344827586214</v>
      </c>
      <c r="C8" s="226">
        <v>54.509803921568626</v>
      </c>
      <c r="D8" s="226">
        <v>55.490196078431374</v>
      </c>
      <c r="E8" s="226">
        <v>55.344827586206897</v>
      </c>
      <c r="F8" s="226">
        <v>49.852941176470587</v>
      </c>
      <c r="G8" s="227">
        <v>25.46875</v>
      </c>
      <c r="H8" s="227"/>
      <c r="I8"/>
      <c r="J8"/>
      <c r="K8"/>
      <c r="L8"/>
      <c r="M8"/>
      <c r="P8" s="219" t="s">
        <v>647</v>
      </c>
      <c r="Q8" s="228">
        <f t="shared" si="0"/>
        <v>54.310344827586214</v>
      </c>
      <c r="R8" s="228">
        <f t="shared" si="1"/>
        <v>49.852941176470587</v>
      </c>
      <c r="S8" s="228">
        <f t="shared" si="2"/>
        <v>54.509803921568626</v>
      </c>
      <c r="T8" s="228">
        <f t="shared" si="3"/>
        <v>55.490196078431374</v>
      </c>
      <c r="U8" s="228">
        <f t="shared" si="4"/>
        <v>55.344827586206897</v>
      </c>
      <c r="V8" s="228">
        <f t="shared" si="5"/>
        <v>53.901622718052735</v>
      </c>
      <c r="W8" s="228">
        <f t="shared" si="6"/>
        <v>49.852941176470587</v>
      </c>
      <c r="X8" s="229">
        <f t="shared" si="7"/>
        <v>53.901622718052735</v>
      </c>
      <c r="Y8" s="229">
        <f t="shared" si="8"/>
        <v>53.901622718052735</v>
      </c>
    </row>
    <row r="9" spans="1:25" ht="15.75">
      <c r="A9" s="222">
        <v>8</v>
      </c>
      <c r="B9" s="226">
        <v>53.43434343434344</v>
      </c>
      <c r="C9" s="226">
        <v>53.988095238095241</v>
      </c>
      <c r="D9" s="226">
        <v>55.308641975308639</v>
      </c>
      <c r="E9" s="226">
        <v>53.18181818181818</v>
      </c>
      <c r="F9" s="226">
        <v>50.833333333333336</v>
      </c>
      <c r="G9" s="227"/>
      <c r="H9" s="227"/>
      <c r="I9"/>
      <c r="J9"/>
      <c r="K9"/>
      <c r="L9"/>
      <c r="M9"/>
      <c r="P9" s="219" t="s">
        <v>648</v>
      </c>
      <c r="Q9" s="228">
        <f t="shared" si="0"/>
        <v>53.18181818181818</v>
      </c>
      <c r="R9" s="228">
        <f t="shared" si="1"/>
        <v>50.833333333333336</v>
      </c>
      <c r="S9" s="228">
        <f t="shared" si="2"/>
        <v>53.43434343434344</v>
      </c>
      <c r="T9" s="228">
        <f t="shared" si="3"/>
        <v>55.308641975308639</v>
      </c>
      <c r="U9" s="228">
        <f t="shared" si="4"/>
        <v>53.988095238095241</v>
      </c>
      <c r="V9" s="228">
        <f t="shared" si="5"/>
        <v>53.349246432579761</v>
      </c>
      <c r="W9" s="228">
        <f t="shared" si="6"/>
        <v>50.833333333333336</v>
      </c>
      <c r="X9" s="229">
        <f t="shared" si="7"/>
        <v>53.349246432579761</v>
      </c>
      <c r="Y9" s="229">
        <f t="shared" si="8"/>
        <v>53.349246432579761</v>
      </c>
    </row>
    <row r="10" spans="1:25" ht="15.75">
      <c r="A10" s="222">
        <v>9</v>
      </c>
      <c r="B10" s="226">
        <v>53.27956989247312</v>
      </c>
      <c r="C10" s="226">
        <v>52.473118279569889</v>
      </c>
      <c r="D10" s="226">
        <v>51.166666666666664</v>
      </c>
      <c r="E10" s="226">
        <v>52.020202020202021</v>
      </c>
      <c r="F10" s="226">
        <v>48.55555555555555</v>
      </c>
      <c r="G10" s="227"/>
      <c r="H10" s="227"/>
      <c r="I10"/>
      <c r="J10"/>
      <c r="K10"/>
      <c r="L10"/>
      <c r="M10"/>
      <c r="P10" s="219" t="s">
        <v>649</v>
      </c>
      <c r="Q10" s="228">
        <f t="shared" si="0"/>
        <v>51.166666666666664</v>
      </c>
      <c r="R10" s="228">
        <f t="shared" si="1"/>
        <v>48.55555555555555</v>
      </c>
      <c r="S10" s="228">
        <f t="shared" si="2"/>
        <v>52.020202020202021</v>
      </c>
      <c r="T10" s="228">
        <f t="shared" si="3"/>
        <v>53.27956989247312</v>
      </c>
      <c r="U10" s="228">
        <f t="shared" si="4"/>
        <v>52.473118279569889</v>
      </c>
      <c r="V10" s="228">
        <f t="shared" si="5"/>
        <v>51.499022482893452</v>
      </c>
      <c r="W10" s="228">
        <f t="shared" si="6"/>
        <v>48.55555555555555</v>
      </c>
      <c r="X10" s="229">
        <f t="shared" si="7"/>
        <v>51.499022482893452</v>
      </c>
      <c r="Y10" s="229">
        <f t="shared" si="8"/>
        <v>51.499022482893452</v>
      </c>
    </row>
    <row r="11" spans="1:25" ht="15.75">
      <c r="A11" s="222">
        <v>10</v>
      </c>
      <c r="B11" s="226">
        <v>27.083333333333332</v>
      </c>
      <c r="C11" s="226">
        <v>34.425287356321839</v>
      </c>
      <c r="D11" s="226">
        <v>33.131313131313128</v>
      </c>
      <c r="E11" s="226">
        <v>24.195402298850578</v>
      </c>
      <c r="F11" s="226">
        <v>32.365591397849464</v>
      </c>
      <c r="G11" s="227"/>
      <c r="H11" s="227"/>
      <c r="I11"/>
      <c r="J11"/>
      <c r="K11"/>
      <c r="L11"/>
      <c r="M11"/>
      <c r="P11" s="219" t="s">
        <v>650</v>
      </c>
      <c r="Q11" s="228">
        <f t="shared" si="0"/>
        <v>27.083333333333332</v>
      </c>
      <c r="R11" s="228">
        <f t="shared" si="1"/>
        <v>24.195402298850578</v>
      </c>
      <c r="S11" s="228">
        <f t="shared" si="2"/>
        <v>32.365591397849464</v>
      </c>
      <c r="T11" s="228">
        <f t="shared" si="3"/>
        <v>34.425287356321839</v>
      </c>
      <c r="U11" s="228">
        <f t="shared" si="4"/>
        <v>33.131313131313128</v>
      </c>
      <c r="V11" s="228">
        <f t="shared" si="5"/>
        <v>30.240185503533674</v>
      </c>
      <c r="W11" s="228">
        <f t="shared" si="6"/>
        <v>32.365591397849464</v>
      </c>
      <c r="X11" s="229">
        <f t="shared" si="7"/>
        <v>30.240185503533674</v>
      </c>
      <c r="Y11" s="229">
        <f t="shared" si="8"/>
        <v>30.240185503533674</v>
      </c>
    </row>
    <row r="12" spans="1:25" ht="15.75">
      <c r="A12" s="222"/>
      <c r="B12" s="227"/>
      <c r="C12" s="227"/>
      <c r="D12" s="227"/>
      <c r="E12" s="227"/>
      <c r="F12" s="227"/>
      <c r="G12" s="227"/>
      <c r="H12" s="227">
        <v>0</v>
      </c>
      <c r="I12"/>
      <c r="J12"/>
      <c r="K12"/>
      <c r="L12"/>
      <c r="M12"/>
    </row>
    <row r="13" spans="1:25" ht="15.75">
      <c r="A13" s="222" t="s">
        <v>641</v>
      </c>
      <c r="B13" s="226">
        <v>293.47125521165259</v>
      </c>
      <c r="C13" s="226">
        <v>297.3745298426366</v>
      </c>
      <c r="D13" s="226">
        <v>296.79525830016024</v>
      </c>
      <c r="E13" s="226">
        <v>288.78874682823221</v>
      </c>
      <c r="F13" s="226">
        <v>275.93494175034999</v>
      </c>
      <c r="G13" s="227">
        <v>128.24269636015327</v>
      </c>
      <c r="H13" s="227">
        <v>0</v>
      </c>
      <c r="I13"/>
      <c r="J13"/>
      <c r="K13"/>
      <c r="L13"/>
      <c r="M13"/>
    </row>
    <row r="15" spans="1:25">
      <c r="R15" s="220" t="str">
        <f>"Baseline = " &amp; FIXED(P37,0,0) &amp; " kWh"</f>
        <v>Baseline = 217,497 kWh</v>
      </c>
    </row>
    <row r="16" spans="1:25">
      <c r="R16" s="220" t="str">
        <f>"Deemed = " &amp; FIXED(T29,0,0) &amp; " kWh, " &amp; FIXED('VFD Calculations'!B3,0,0) &amp; " kWh/HP/Year"</f>
        <v>Deemed = 0 kWh, 400 kWh/HP/Year</v>
      </c>
    </row>
    <row r="17" spans="1:21">
      <c r="R17" s="220" t="e">
        <f>"Calculated = " &amp; FIXED(U29,0,0) &amp; " kWh, " &amp; FIXED('VFD Calculations'!G58,0,0) &amp; " kWh/HP/Year"</f>
        <v>#DIV/0!</v>
      </c>
    </row>
    <row r="18" spans="1:21">
      <c r="R18" s="220" t="str">
        <f>"For " &amp; 'VFD Application'!G18 &amp; " HP VFD maintaining " &amp; FIXED('VFD Application'!$O$19,0,0) &amp; " psi."</f>
        <v>For  HP VFD maintaining 0 psi.</v>
      </c>
    </row>
    <row r="26" spans="1:21">
      <c r="A26" s="223" t="s">
        <v>661</v>
      </c>
    </row>
    <row r="27" spans="1:21" ht="15.75">
      <c r="A27" s="224" t="s">
        <v>660</v>
      </c>
      <c r="B27" s="224" t="s">
        <v>642</v>
      </c>
      <c r="I27"/>
      <c r="J27"/>
      <c r="K27"/>
      <c r="L27"/>
      <c r="M27"/>
      <c r="P27" s="225"/>
      <c r="S27" s="220" t="s">
        <v>662</v>
      </c>
    </row>
    <row r="28" spans="1:21" ht="15.75">
      <c r="A28" s="224" t="s">
        <v>640</v>
      </c>
      <c r="B28" s="220">
        <v>2007</v>
      </c>
      <c r="C28" s="220">
        <v>2008</v>
      </c>
      <c r="D28" s="220">
        <v>2009</v>
      </c>
      <c r="E28" s="220">
        <v>2010</v>
      </c>
      <c r="F28" s="220">
        <v>2011</v>
      </c>
      <c r="G28" s="220">
        <v>2012</v>
      </c>
      <c r="I28"/>
      <c r="J28"/>
      <c r="K28"/>
      <c r="L28"/>
      <c r="M28"/>
      <c r="P28" s="230" t="s">
        <v>656</v>
      </c>
      <c r="T28" s="220" t="s">
        <v>835</v>
      </c>
      <c r="U28" s="220" t="s">
        <v>657</v>
      </c>
    </row>
    <row r="29" spans="1:21" ht="15.75">
      <c r="A29" s="222">
        <v>4</v>
      </c>
      <c r="B29" s="227">
        <v>18400</v>
      </c>
      <c r="C29" s="227">
        <v>9200</v>
      </c>
      <c r="D29" s="227">
        <v>4480</v>
      </c>
      <c r="E29" s="227">
        <v>10000</v>
      </c>
      <c r="F29" s="227">
        <v>4440</v>
      </c>
      <c r="G29" s="227">
        <v>0</v>
      </c>
      <c r="H29" s="227"/>
      <c r="I29"/>
      <c r="J29"/>
      <c r="K29"/>
      <c r="L29"/>
      <c r="M29"/>
      <c r="P29" s="220">
        <f>AVERAGE(B29:M29)</f>
        <v>7753.333333333333</v>
      </c>
      <c r="S29" s="221" t="s">
        <v>729</v>
      </c>
      <c r="T29" s="220">
        <f>'VFD Application'!G18*'VFD Calculations'!B3</f>
        <v>0</v>
      </c>
      <c r="U29" s="220">
        <f>'VFD Calculations'!G56</f>
        <v>0</v>
      </c>
    </row>
    <row r="30" spans="1:21" ht="15.75">
      <c r="A30" s="222">
        <v>5</v>
      </c>
      <c r="B30" s="227">
        <v>32840</v>
      </c>
      <c r="C30" s="227">
        <v>35640</v>
      </c>
      <c r="D30" s="227">
        <v>31880</v>
      </c>
      <c r="E30" s="227">
        <v>38440</v>
      </c>
      <c r="F30" s="227">
        <v>36360</v>
      </c>
      <c r="G30" s="227">
        <v>39360</v>
      </c>
      <c r="H30" s="227"/>
      <c r="I30"/>
      <c r="J30"/>
      <c r="K30"/>
      <c r="L30"/>
      <c r="M30"/>
      <c r="P30" s="220">
        <f t="shared" ref="P30:P35" si="9">AVERAGE(B30:M30)</f>
        <v>35753.333333333336</v>
      </c>
      <c r="S30" s="221" t="s">
        <v>663</v>
      </c>
      <c r="T30" s="231">
        <f>T29/P37</f>
        <v>0</v>
      </c>
      <c r="U30" s="231">
        <f>U29/P37</f>
        <v>0</v>
      </c>
    </row>
    <row r="31" spans="1:21" ht="15.75">
      <c r="A31" s="222">
        <v>6</v>
      </c>
      <c r="B31" s="227">
        <v>40080</v>
      </c>
      <c r="C31" s="227">
        <v>38640</v>
      </c>
      <c r="D31" s="227">
        <v>42160</v>
      </c>
      <c r="E31" s="227">
        <v>37200</v>
      </c>
      <c r="F31" s="227">
        <v>33080</v>
      </c>
      <c r="G31" s="227">
        <v>33280</v>
      </c>
      <c r="H31" s="227"/>
      <c r="I31"/>
      <c r="J31"/>
      <c r="K31"/>
      <c r="L31"/>
      <c r="M31"/>
      <c r="P31" s="220">
        <f t="shared" si="9"/>
        <v>37406.666666666664</v>
      </c>
    </row>
    <row r="32" spans="1:21" ht="15.75">
      <c r="A32" s="222">
        <v>7</v>
      </c>
      <c r="B32" s="227">
        <v>37800</v>
      </c>
      <c r="C32" s="227">
        <v>44480</v>
      </c>
      <c r="D32" s="227">
        <v>45280</v>
      </c>
      <c r="E32" s="227">
        <v>38520</v>
      </c>
      <c r="F32" s="227">
        <v>40680</v>
      </c>
      <c r="G32" s="227">
        <v>19560</v>
      </c>
      <c r="H32" s="227"/>
      <c r="I32"/>
      <c r="J32"/>
      <c r="K32"/>
      <c r="L32"/>
      <c r="M32"/>
      <c r="P32" s="220">
        <f t="shared" si="9"/>
        <v>37720</v>
      </c>
    </row>
    <row r="33" spans="1:16" ht="15.75">
      <c r="A33" s="222">
        <v>8</v>
      </c>
      <c r="B33" s="227">
        <v>42320</v>
      </c>
      <c r="C33" s="227">
        <v>36280</v>
      </c>
      <c r="D33" s="227">
        <v>35840</v>
      </c>
      <c r="E33" s="227">
        <v>42120</v>
      </c>
      <c r="F33" s="227">
        <v>34160</v>
      </c>
      <c r="G33" s="227"/>
      <c r="H33" s="227"/>
      <c r="I33"/>
      <c r="J33"/>
      <c r="K33"/>
      <c r="L33"/>
      <c r="M33"/>
      <c r="P33" s="220">
        <f t="shared" si="9"/>
        <v>38144</v>
      </c>
    </row>
    <row r="34" spans="1:16" ht="15.75">
      <c r="A34" s="222">
        <v>9</v>
      </c>
      <c r="B34" s="227">
        <v>39640</v>
      </c>
      <c r="C34" s="227">
        <v>39040</v>
      </c>
      <c r="D34" s="227">
        <v>36840</v>
      </c>
      <c r="E34" s="227">
        <v>41200</v>
      </c>
      <c r="F34" s="227">
        <v>34960</v>
      </c>
      <c r="G34" s="227"/>
      <c r="H34" s="227"/>
      <c r="I34"/>
      <c r="J34"/>
      <c r="K34"/>
      <c r="L34"/>
      <c r="M34"/>
      <c r="P34" s="220">
        <f t="shared" si="9"/>
        <v>38336</v>
      </c>
    </row>
    <row r="35" spans="1:16" ht="15.75">
      <c r="A35" s="222">
        <v>10</v>
      </c>
      <c r="B35" s="227">
        <v>20800</v>
      </c>
      <c r="C35" s="227">
        <v>23960</v>
      </c>
      <c r="D35" s="227">
        <v>26240</v>
      </c>
      <c r="E35" s="227">
        <v>16840</v>
      </c>
      <c r="F35" s="227">
        <v>24080</v>
      </c>
      <c r="G35" s="227"/>
      <c r="H35" s="227"/>
      <c r="I35"/>
      <c r="J35"/>
      <c r="K35"/>
      <c r="L35"/>
      <c r="M35"/>
      <c r="P35" s="220">
        <f t="shared" si="9"/>
        <v>22384</v>
      </c>
    </row>
    <row r="36" spans="1:16" ht="15.75">
      <c r="A36" s="222"/>
      <c r="B36" s="227"/>
      <c r="C36" s="227"/>
      <c r="D36" s="227"/>
      <c r="E36" s="227"/>
      <c r="F36" s="227"/>
      <c r="G36" s="227"/>
      <c r="H36" s="227"/>
      <c r="I36"/>
      <c r="J36"/>
      <c r="K36"/>
      <c r="L36"/>
      <c r="M36"/>
    </row>
    <row r="37" spans="1:16" ht="15.75">
      <c r="A37" s="222" t="s">
        <v>641</v>
      </c>
      <c r="B37" s="227">
        <v>231880</v>
      </c>
      <c r="C37" s="227">
        <v>227240</v>
      </c>
      <c r="D37" s="227">
        <v>222720</v>
      </c>
      <c r="E37" s="227">
        <v>224320</v>
      </c>
      <c r="F37" s="227">
        <v>207760</v>
      </c>
      <c r="G37" s="227">
        <v>92200</v>
      </c>
      <c r="H37" s="227"/>
      <c r="I37"/>
      <c r="J37"/>
      <c r="K37"/>
      <c r="L37"/>
      <c r="M37"/>
      <c r="P37" s="232">
        <f>SUM(P29:P35)</f>
        <v>217497.33333333334</v>
      </c>
    </row>
    <row r="39" spans="1:16">
      <c r="O39" s="221"/>
    </row>
    <row r="40" spans="1:16">
      <c r="O40" s="221"/>
      <c r="P40" s="309"/>
    </row>
  </sheetData>
  <mergeCells count="1">
    <mergeCell ref="P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9"/>
  <dimension ref="A1:Z38"/>
  <sheetViews>
    <sheetView zoomScale="103" workbookViewId="0">
      <pane xSplit="1" ySplit="4" topLeftCell="I5" activePane="bottomRight" state="frozen"/>
      <selection activeCell="E2" sqref="E2"/>
      <selection pane="topRight" activeCell="E2" sqref="E2"/>
      <selection pane="bottomLeft" activeCell="E2" sqref="E2"/>
      <selection pane="bottomRight" activeCell="S14" sqref="S14"/>
    </sheetView>
  </sheetViews>
  <sheetFormatPr defaultColWidth="8" defaultRowHeight="12.75"/>
  <cols>
    <col min="1" max="1" width="8" style="3"/>
    <col min="2" max="2" width="12.75" style="3" customWidth="1"/>
    <col min="3" max="3" width="9" style="3" customWidth="1"/>
    <col min="4" max="4" width="35.25" style="3" customWidth="1"/>
    <col min="5" max="5" width="21.25" style="3" customWidth="1"/>
    <col min="6" max="6" width="29.75" style="3" customWidth="1"/>
    <col min="7" max="9" width="10" style="3" customWidth="1"/>
    <col min="10" max="11" width="9.375" style="3" customWidth="1"/>
    <col min="12" max="12" width="13.75" style="3" customWidth="1"/>
    <col min="13" max="13" width="12.25" style="3" customWidth="1"/>
    <col min="14" max="14" width="15.25" style="3" customWidth="1"/>
    <col min="15" max="15" width="16.625" style="3" customWidth="1"/>
    <col min="16" max="16" width="14.875" style="3" customWidth="1"/>
    <col min="17" max="17" width="12.625" style="3" customWidth="1"/>
    <col min="18" max="18" width="9.125" style="3" customWidth="1"/>
    <col min="19" max="16384" width="8" style="3"/>
  </cols>
  <sheetData>
    <row r="1" spans="1:26">
      <c r="D1" s="94" t="s">
        <v>103</v>
      </c>
      <c r="E1" s="94" t="s">
        <v>103</v>
      </c>
      <c r="F1" s="31">
        <v>1</v>
      </c>
      <c r="G1" s="31">
        <v>2</v>
      </c>
      <c r="H1" s="31">
        <v>3</v>
      </c>
      <c r="I1" s="31">
        <v>4</v>
      </c>
      <c r="J1" s="31">
        <v>5</v>
      </c>
      <c r="K1" s="31">
        <v>6</v>
      </c>
      <c r="L1" s="31">
        <v>7</v>
      </c>
      <c r="M1" s="31">
        <v>8</v>
      </c>
      <c r="N1" s="31">
        <v>9</v>
      </c>
      <c r="O1" s="31">
        <v>10</v>
      </c>
      <c r="P1" s="31">
        <v>11</v>
      </c>
      <c r="Q1" s="31">
        <v>12</v>
      </c>
      <c r="R1" s="31">
        <v>13</v>
      </c>
      <c r="S1" s="31">
        <v>14</v>
      </c>
      <c r="T1" s="31">
        <v>15</v>
      </c>
      <c r="U1" s="31">
        <v>16</v>
      </c>
      <c r="V1" s="31">
        <v>17</v>
      </c>
      <c r="W1" s="31">
        <v>18</v>
      </c>
      <c r="X1" s="31">
        <v>20</v>
      </c>
      <c r="Y1" s="31">
        <v>21</v>
      </c>
    </row>
    <row r="2" spans="1:26" ht="39" thickBot="1">
      <c r="D2" s="60">
        <v>22</v>
      </c>
      <c r="E2" s="60">
        <v>8</v>
      </c>
      <c r="M2" s="32" t="s">
        <v>104</v>
      </c>
    </row>
    <row r="3" spans="1:26" ht="26.45" customHeight="1">
      <c r="B3" s="114" t="s">
        <v>105</v>
      </c>
      <c r="C3" s="115"/>
      <c r="D3" s="115"/>
      <c r="E3" s="34"/>
      <c r="G3" s="116" t="s">
        <v>106</v>
      </c>
      <c r="H3" s="117"/>
      <c r="I3" s="117"/>
      <c r="J3" s="117"/>
      <c r="M3" s="35">
        <v>0.46450000000000002</v>
      </c>
      <c r="N3" s="118" t="s">
        <v>107</v>
      </c>
      <c r="O3" s="118"/>
      <c r="P3" s="118"/>
      <c r="Q3" s="118"/>
    </row>
    <row r="4" spans="1:26" ht="63.75">
      <c r="A4" s="53" t="s">
        <v>103</v>
      </c>
      <c r="B4" s="33" t="s">
        <v>108</v>
      </c>
      <c r="C4" s="33" t="s">
        <v>109</v>
      </c>
      <c r="D4" s="33" t="s">
        <v>110</v>
      </c>
      <c r="E4" s="93" t="s">
        <v>111</v>
      </c>
      <c r="F4" s="38" t="s">
        <v>112</v>
      </c>
      <c r="G4" s="36" t="s">
        <v>113</v>
      </c>
      <c r="H4" s="36" t="s">
        <v>114</v>
      </c>
      <c r="I4" s="36" t="s">
        <v>115</v>
      </c>
      <c r="J4" s="36" t="s">
        <v>116</v>
      </c>
      <c r="K4" s="36" t="s">
        <v>117</v>
      </c>
      <c r="L4" s="39" t="s">
        <v>118</v>
      </c>
      <c r="M4" s="36" t="s">
        <v>119</v>
      </c>
      <c r="N4" s="36" t="s">
        <v>113</v>
      </c>
      <c r="O4" s="36" t="s">
        <v>114</v>
      </c>
      <c r="P4" s="36" t="s">
        <v>115</v>
      </c>
      <c r="Q4" s="36" t="s">
        <v>116</v>
      </c>
      <c r="R4" s="40" t="s">
        <v>120</v>
      </c>
    </row>
    <row r="5" spans="1:26">
      <c r="A5" s="31">
        <v>1</v>
      </c>
      <c r="B5" s="3" t="s">
        <v>121</v>
      </c>
      <c r="C5" s="3" t="s">
        <v>122</v>
      </c>
      <c r="D5" s="96" t="s">
        <v>123</v>
      </c>
      <c r="E5" s="96" t="s">
        <v>123</v>
      </c>
      <c r="F5" s="38"/>
      <c r="G5" s="36"/>
      <c r="H5" s="36"/>
      <c r="I5" s="36"/>
      <c r="J5" s="36"/>
      <c r="K5" s="36"/>
      <c r="L5" s="39"/>
      <c r="M5" s="36"/>
      <c r="N5" s="36"/>
      <c r="O5" s="36"/>
      <c r="P5" s="36"/>
      <c r="Q5" s="36"/>
      <c r="R5" s="40"/>
      <c r="S5" s="53" t="s">
        <v>103</v>
      </c>
      <c r="T5" s="53" t="s">
        <v>124</v>
      </c>
      <c r="U5" s="53" t="s">
        <v>125</v>
      </c>
      <c r="V5" s="53" t="s">
        <v>126</v>
      </c>
      <c r="W5" s="53" t="s">
        <v>127</v>
      </c>
      <c r="X5" s="53" t="s">
        <v>128</v>
      </c>
      <c r="Y5" s="53" t="s">
        <v>72</v>
      </c>
      <c r="Z5" s="53" t="s">
        <v>129</v>
      </c>
    </row>
    <row r="6" spans="1:26">
      <c r="A6" s="31">
        <v>2</v>
      </c>
      <c r="B6" s="3" t="s">
        <v>130</v>
      </c>
      <c r="C6" s="3" t="s">
        <v>122</v>
      </c>
      <c r="D6" s="52" t="s">
        <v>131</v>
      </c>
      <c r="E6" s="52" t="s">
        <v>132</v>
      </c>
      <c r="F6" s="41" t="s">
        <v>131</v>
      </c>
      <c r="G6" s="42">
        <v>0.91608194383829877</v>
      </c>
      <c r="H6" s="42">
        <v>1.02</v>
      </c>
      <c r="I6" s="42">
        <v>1.0792819438382986</v>
      </c>
      <c r="J6" s="42">
        <v>1</v>
      </c>
      <c r="K6" s="33">
        <v>4200</v>
      </c>
      <c r="L6" s="43">
        <v>-8.1887999999999996E-3</v>
      </c>
      <c r="M6" s="44">
        <f t="shared" ref="M6:M27" si="0">$M$3*L6</f>
        <v>-3.8036976000000002E-3</v>
      </c>
      <c r="N6" s="45" t="str">
        <f t="shared" ref="N6:N21" si="1">CONCATENATE("Ex",C5,"ElecHt")</f>
        <v>ExLgOffElecHt</v>
      </c>
      <c r="O6" s="45" t="str">
        <f t="shared" ref="O6:O21" si="2">CONCATENATE("Ex",C5,"HtPmpHt")</f>
        <v>ExLgOffHtPmpHt</v>
      </c>
      <c r="P6" s="45" t="str">
        <f t="shared" ref="P6:P21" si="3">CONCATENATE("Ex",C5,"GasHt")</f>
        <v>ExLgOffGasHt</v>
      </c>
      <c r="Q6" s="41" t="str">
        <f t="shared" ref="Q6:Q22" si="4">CONCATENATE("Ex",C5)</f>
        <v>ExLgOff</v>
      </c>
      <c r="R6" s="33">
        <v>12</v>
      </c>
      <c r="S6" s="3">
        <v>1</v>
      </c>
      <c r="T6" s="53" t="s">
        <v>123</v>
      </c>
      <c r="U6" s="3">
        <v>0</v>
      </c>
      <c r="V6" s="3">
        <v>0</v>
      </c>
      <c r="W6" s="82">
        <v>0</v>
      </c>
      <c r="X6" s="53" t="s">
        <v>342</v>
      </c>
      <c r="Y6" s="53"/>
      <c r="Z6" s="53"/>
    </row>
    <row r="7" spans="1:26">
      <c r="A7" s="31">
        <v>3</v>
      </c>
      <c r="B7" s="3" t="s">
        <v>133</v>
      </c>
      <c r="C7" s="3" t="s">
        <v>134</v>
      </c>
      <c r="D7" s="52" t="s">
        <v>135</v>
      </c>
      <c r="E7" s="52" t="s">
        <v>136</v>
      </c>
      <c r="F7" s="41" t="s">
        <v>135</v>
      </c>
      <c r="G7" s="42">
        <v>0.90507113507518966</v>
      </c>
      <c r="H7" s="42">
        <v>1.02</v>
      </c>
      <c r="I7" s="42">
        <v>1.0682711350751894</v>
      </c>
      <c r="J7" s="42">
        <v>1</v>
      </c>
      <c r="K7" s="33">
        <v>3600</v>
      </c>
      <c r="L7" s="43">
        <v>-8.1887999999999996E-3</v>
      </c>
      <c r="M7" s="44">
        <f t="shared" si="0"/>
        <v>-3.8036976000000002E-3</v>
      </c>
      <c r="N7" s="45" t="str">
        <f t="shared" si="1"/>
        <v>ExLgOffElecHt</v>
      </c>
      <c r="O7" s="45" t="str">
        <f t="shared" si="2"/>
        <v>ExLgOffHtPmpHt</v>
      </c>
      <c r="P7" s="45" t="str">
        <f t="shared" si="3"/>
        <v>ExLgOffGasHt</v>
      </c>
      <c r="Q7" s="41" t="str">
        <f t="shared" si="4"/>
        <v>ExLgOff</v>
      </c>
      <c r="R7" s="33">
        <v>12</v>
      </c>
      <c r="S7" s="3">
        <v>2</v>
      </c>
      <c r="T7" s="53" t="s">
        <v>137</v>
      </c>
      <c r="U7" s="3">
        <v>2.7E-2</v>
      </c>
      <c r="V7" s="3">
        <v>0</v>
      </c>
      <c r="W7" s="82">
        <v>0.06</v>
      </c>
      <c r="X7" s="53" t="s">
        <v>340</v>
      </c>
      <c r="Y7" s="3">
        <v>260967</v>
      </c>
      <c r="Z7" s="3">
        <v>556000</v>
      </c>
    </row>
    <row r="8" spans="1:26">
      <c r="A8" s="31">
        <v>4</v>
      </c>
      <c r="B8" s="3" t="s">
        <v>138</v>
      </c>
      <c r="C8" s="3" t="s">
        <v>139</v>
      </c>
      <c r="D8" s="52" t="s">
        <v>140</v>
      </c>
      <c r="E8" s="4" t="s">
        <v>114</v>
      </c>
      <c r="F8" s="41" t="s">
        <v>140</v>
      </c>
      <c r="G8" s="42">
        <v>0.69090427312002767</v>
      </c>
      <c r="H8" s="42">
        <v>0.95499999999999996</v>
      </c>
      <c r="I8" s="42">
        <v>1.1170376064533609</v>
      </c>
      <c r="J8" s="42">
        <v>1</v>
      </c>
      <c r="K8" s="33">
        <v>3000</v>
      </c>
      <c r="L8" s="43">
        <v>-2.1381866666666666E-2</v>
      </c>
      <c r="M8" s="44">
        <f t="shared" si="0"/>
        <v>-9.9318770666666674E-3</v>
      </c>
      <c r="N8" s="45" t="str">
        <f t="shared" si="1"/>
        <v>ExSmOffElecHt</v>
      </c>
      <c r="O8" s="45" t="str">
        <f t="shared" si="2"/>
        <v>ExSmOffHtPmpHt</v>
      </c>
      <c r="P8" s="45" t="str">
        <f t="shared" si="3"/>
        <v>ExSmOffGasHt</v>
      </c>
      <c r="Q8" s="41" t="str">
        <f t="shared" si="4"/>
        <v>ExSmOff</v>
      </c>
      <c r="R8" s="33">
        <v>12</v>
      </c>
      <c r="S8" s="3">
        <v>3</v>
      </c>
      <c r="T8" s="53" t="s">
        <v>4</v>
      </c>
      <c r="U8" s="3">
        <v>2.35E-2</v>
      </c>
      <c r="V8" s="3">
        <v>2.4</v>
      </c>
      <c r="W8" s="82">
        <v>0.06</v>
      </c>
      <c r="X8" s="53" t="s">
        <v>340</v>
      </c>
      <c r="Y8" s="3">
        <v>260967</v>
      </c>
      <c r="Z8" s="3">
        <v>556000</v>
      </c>
    </row>
    <row r="9" spans="1:26">
      <c r="A9" s="31">
        <v>5</v>
      </c>
      <c r="B9" s="3" t="s">
        <v>141</v>
      </c>
      <c r="C9" s="3" t="s">
        <v>142</v>
      </c>
      <c r="D9" s="52" t="s">
        <v>143</v>
      </c>
      <c r="E9" s="53" t="s">
        <v>144</v>
      </c>
      <c r="F9" s="41" t="s">
        <v>143</v>
      </c>
      <c r="G9" s="42">
        <v>0.81860997890071918</v>
      </c>
      <c r="H9" s="42">
        <v>1.0249999999999999</v>
      </c>
      <c r="I9" s="42">
        <v>1.1178099789007192</v>
      </c>
      <c r="J9" s="42">
        <v>1</v>
      </c>
      <c r="K9" s="33">
        <v>4800</v>
      </c>
      <c r="L9" s="43">
        <v>-1.50128E-2</v>
      </c>
      <c r="M9" s="44">
        <f t="shared" si="0"/>
        <v>-6.9734456000000002E-3</v>
      </c>
      <c r="N9" s="45" t="str">
        <f t="shared" si="1"/>
        <v>ExLgRetElecHt</v>
      </c>
      <c r="O9" s="45" t="str">
        <f t="shared" si="2"/>
        <v>ExLgRetHtPmpHt</v>
      </c>
      <c r="P9" s="45" t="str">
        <f t="shared" si="3"/>
        <v>ExLgRetGasHt</v>
      </c>
      <c r="Q9" s="41" t="str">
        <f t="shared" si="4"/>
        <v>ExLgRet</v>
      </c>
      <c r="R9" s="33">
        <v>12</v>
      </c>
      <c r="S9" s="3">
        <v>4</v>
      </c>
      <c r="T9" s="53" t="s">
        <v>145</v>
      </c>
      <c r="U9" s="3">
        <v>1.35E-2</v>
      </c>
      <c r="V9" s="3">
        <v>3.23</v>
      </c>
      <c r="W9" s="82">
        <v>0.15</v>
      </c>
      <c r="X9" s="53" t="s">
        <v>341</v>
      </c>
      <c r="Y9" s="3">
        <v>260970</v>
      </c>
      <c r="Z9" s="3">
        <v>556000</v>
      </c>
    </row>
    <row r="10" spans="1:26">
      <c r="A10" s="31">
        <v>6</v>
      </c>
      <c r="B10" s="3" t="s">
        <v>146</v>
      </c>
      <c r="C10" s="3" t="s">
        <v>142</v>
      </c>
      <c r="D10" s="52" t="s">
        <v>147</v>
      </c>
      <c r="E10" s="52" t="s">
        <v>148</v>
      </c>
      <c r="F10" s="41" t="s">
        <v>147</v>
      </c>
      <c r="G10" s="42">
        <v>0.68089046306021284</v>
      </c>
      <c r="H10" s="42">
        <v>0.92500000000000004</v>
      </c>
      <c r="I10" s="42">
        <v>1.034490463060213</v>
      </c>
      <c r="J10" s="42">
        <v>1</v>
      </c>
      <c r="K10" s="33">
        <v>3900</v>
      </c>
      <c r="L10" s="43">
        <v>-1.7742399999999998E-2</v>
      </c>
      <c r="M10" s="44">
        <f t="shared" si="0"/>
        <v>-8.2413447999999997E-3</v>
      </c>
      <c r="N10" s="45" t="str">
        <f t="shared" si="1"/>
        <v>ExSmRetElecHt</v>
      </c>
      <c r="O10" s="45" t="str">
        <f t="shared" si="2"/>
        <v>ExSmRetHtPmpHt</v>
      </c>
      <c r="P10" s="45" t="str">
        <f t="shared" si="3"/>
        <v>ExSmRetGasHt</v>
      </c>
      <c r="Q10" s="41" t="str">
        <f t="shared" si="4"/>
        <v>ExSmRet</v>
      </c>
      <c r="R10" s="33">
        <v>12</v>
      </c>
      <c r="S10" s="3">
        <v>5</v>
      </c>
      <c r="T10" s="53" t="s">
        <v>149</v>
      </c>
      <c r="U10" s="3">
        <v>1.3299999999999999E-2</v>
      </c>
      <c r="V10" s="3">
        <v>3.23</v>
      </c>
      <c r="W10" s="82">
        <v>0.15</v>
      </c>
      <c r="X10" s="53" t="s">
        <v>341</v>
      </c>
      <c r="Y10" s="3">
        <v>260970</v>
      </c>
      <c r="Z10" s="3">
        <v>556000</v>
      </c>
    </row>
    <row r="11" spans="1:26">
      <c r="A11" s="31">
        <v>7</v>
      </c>
      <c r="B11" s="3" t="s">
        <v>150</v>
      </c>
      <c r="C11" s="3" t="s">
        <v>139</v>
      </c>
      <c r="D11" s="52" t="s">
        <v>151</v>
      </c>
      <c r="E11" s="53" t="s">
        <v>152</v>
      </c>
      <c r="F11" s="41" t="s">
        <v>151</v>
      </c>
      <c r="G11" s="42">
        <v>0.76309370940250187</v>
      </c>
      <c r="H11" s="42">
        <v>0.97499999999999998</v>
      </c>
      <c r="I11" s="42">
        <v>1.0441603760691687</v>
      </c>
      <c r="J11" s="42">
        <v>1</v>
      </c>
      <c r="K11" s="33">
        <v>3400</v>
      </c>
      <c r="L11" s="43">
        <v>-1.4102933333333333E-2</v>
      </c>
      <c r="M11" s="44">
        <f t="shared" si="0"/>
        <v>-6.5508125333333337E-3</v>
      </c>
      <c r="N11" s="45" t="str">
        <f t="shared" si="1"/>
        <v>ExSmRetElecHt</v>
      </c>
      <c r="O11" s="45" t="str">
        <f t="shared" si="2"/>
        <v>ExSmRetHtPmpHt</v>
      </c>
      <c r="P11" s="45" t="str">
        <f t="shared" si="3"/>
        <v>ExSmRetGasHt</v>
      </c>
      <c r="Q11" s="41" t="str">
        <f t="shared" si="4"/>
        <v>ExSmRet</v>
      </c>
      <c r="R11" s="33">
        <v>12</v>
      </c>
      <c r="S11" s="3">
        <v>6</v>
      </c>
      <c r="T11" s="53" t="s">
        <v>343</v>
      </c>
      <c r="U11" s="3">
        <v>1.6500000000000001E-2</v>
      </c>
      <c r="V11" s="3">
        <v>3.52</v>
      </c>
      <c r="W11" s="82">
        <v>0.15</v>
      </c>
      <c r="X11" s="53" t="s">
        <v>344</v>
      </c>
      <c r="Y11" s="3">
        <v>261756</v>
      </c>
      <c r="Z11" s="3">
        <v>556000</v>
      </c>
    </row>
    <row r="12" spans="1:26">
      <c r="A12" s="31">
        <v>8</v>
      </c>
      <c r="B12" s="3" t="s">
        <v>153</v>
      </c>
      <c r="C12" s="3" t="s">
        <v>154</v>
      </c>
      <c r="D12" s="52" t="s">
        <v>155</v>
      </c>
      <c r="E12" s="5" t="s">
        <v>116</v>
      </c>
      <c r="F12" s="41" t="s">
        <v>155</v>
      </c>
      <c r="G12" s="42">
        <v>0.7107865827309866</v>
      </c>
      <c r="H12" s="42">
        <v>0.96499999999999997</v>
      </c>
      <c r="I12" s="42">
        <v>1.1006532493976531</v>
      </c>
      <c r="J12" s="42">
        <v>1</v>
      </c>
      <c r="K12" s="33">
        <v>4000</v>
      </c>
      <c r="L12" s="43">
        <v>-1.9562133333333332E-2</v>
      </c>
      <c r="M12" s="44">
        <f t="shared" si="0"/>
        <v>-9.0866109333333327E-3</v>
      </c>
      <c r="N12" s="45" t="str">
        <f t="shared" si="1"/>
        <v>ExLgRetElecHt</v>
      </c>
      <c r="O12" s="45" t="str">
        <f t="shared" si="2"/>
        <v>ExLgRetHtPmpHt</v>
      </c>
      <c r="P12" s="45" t="str">
        <f t="shared" si="3"/>
        <v>ExLgRetGasHt</v>
      </c>
      <c r="Q12" s="41" t="str">
        <f t="shared" si="4"/>
        <v>ExLgRet</v>
      </c>
      <c r="R12" s="33">
        <v>12</v>
      </c>
      <c r="S12" s="53" t="s">
        <v>103</v>
      </c>
      <c r="W12" s="82"/>
    </row>
    <row r="13" spans="1:26">
      <c r="A13" s="31">
        <v>9</v>
      </c>
      <c r="B13" s="3" t="s">
        <v>156</v>
      </c>
      <c r="C13" s="3" t="s">
        <v>154</v>
      </c>
      <c r="D13" s="52" t="s">
        <v>157</v>
      </c>
      <c r="E13" s="4"/>
      <c r="F13" s="41" t="s">
        <v>157</v>
      </c>
      <c r="G13" s="42">
        <v>0.56880821985150298</v>
      </c>
      <c r="H13" s="42">
        <v>0.86</v>
      </c>
      <c r="I13" s="42">
        <v>1.004008219851503</v>
      </c>
      <c r="J13" s="42">
        <v>1</v>
      </c>
      <c r="K13" s="33">
        <v>2400</v>
      </c>
      <c r="L13" s="43">
        <v>-2.18368E-2</v>
      </c>
      <c r="M13" s="44">
        <f t="shared" si="0"/>
        <v>-1.0143193600000001E-2</v>
      </c>
      <c r="N13" s="45" t="str">
        <f t="shared" si="1"/>
        <v>ExSchoolElecHt</v>
      </c>
      <c r="O13" s="45" t="str">
        <f t="shared" si="2"/>
        <v>ExSchoolHtPmpHt</v>
      </c>
      <c r="P13" s="45" t="str">
        <f t="shared" si="3"/>
        <v>ExSchoolGasHt</v>
      </c>
      <c r="Q13" s="41" t="str">
        <f t="shared" si="4"/>
        <v>ExSchool</v>
      </c>
      <c r="R13" s="33">
        <v>12</v>
      </c>
      <c r="S13" s="3">
        <v>6</v>
      </c>
      <c r="T13" s="3" t="str">
        <f>DGET($S$5:W$11,T$5,$S$12:$S$13)</f>
        <v>Sch. 5, Irrigation</v>
      </c>
      <c r="U13" s="3">
        <f>DGET($S$5:X$11,U$5,$S$12:$S$13)</f>
        <v>1.6500000000000001E-2</v>
      </c>
      <c r="V13" s="3">
        <f>DGET($S$5:Y$11,V$5,$S$12:$S$13)</f>
        <v>3.52</v>
      </c>
      <c r="W13" s="3">
        <f>DGET($S$5:Z$11,W$5,$S$12:$S$13)</f>
        <v>0.15</v>
      </c>
      <c r="X13" s="3" t="str">
        <f>DGET($S$5:AA$11,X$5,$S$12:$S$13)</f>
        <v>Agricultural</v>
      </c>
      <c r="Y13" s="3">
        <f>DGET($S$5:AB$11,Y$5,$S$12:$S$13)</f>
        <v>261756</v>
      </c>
      <c r="Z13" s="3">
        <f>DGET($S$5:AC$11,Z$5,$S$12:$S$13)</f>
        <v>556000</v>
      </c>
    </row>
    <row r="14" spans="1:26">
      <c r="A14" s="31">
        <v>10</v>
      </c>
      <c r="B14" s="3" t="s">
        <v>158</v>
      </c>
      <c r="C14" s="3" t="s">
        <v>159</v>
      </c>
      <c r="D14" s="52" t="s">
        <v>160</v>
      </c>
      <c r="E14" s="4"/>
      <c r="F14" s="41" t="s">
        <v>160</v>
      </c>
      <c r="G14" s="42">
        <v>0.68206321012448889</v>
      </c>
      <c r="H14" s="42">
        <v>0.95499999999999996</v>
      </c>
      <c r="I14" s="42">
        <v>1.1081965434578223</v>
      </c>
      <c r="J14" s="42">
        <v>1</v>
      </c>
      <c r="K14" s="33">
        <v>3000</v>
      </c>
      <c r="L14" s="43">
        <v>-2.1381866666666666E-2</v>
      </c>
      <c r="M14" s="44">
        <f t="shared" si="0"/>
        <v>-9.9318770666666674E-3</v>
      </c>
      <c r="N14" s="45" t="str">
        <f t="shared" si="1"/>
        <v>ExSchoolElecHt</v>
      </c>
      <c r="O14" s="45" t="str">
        <f t="shared" si="2"/>
        <v>ExSchoolHtPmpHt</v>
      </c>
      <c r="P14" s="45" t="str">
        <f t="shared" si="3"/>
        <v>ExSchoolGasHt</v>
      </c>
      <c r="Q14" s="41" t="str">
        <f t="shared" si="4"/>
        <v>ExSchool</v>
      </c>
      <c r="R14" s="33">
        <v>12</v>
      </c>
    </row>
    <row r="15" spans="1:26">
      <c r="A15" s="31">
        <v>11</v>
      </c>
      <c r="B15" s="3" t="s">
        <v>161</v>
      </c>
      <c r="C15" s="3" t="s">
        <v>162</v>
      </c>
      <c r="D15" s="52" t="s">
        <v>163</v>
      </c>
      <c r="F15" s="41" t="s">
        <v>163</v>
      </c>
      <c r="G15" s="42">
        <v>0.61</v>
      </c>
      <c r="H15" s="42">
        <v>0.80500000000000005</v>
      </c>
      <c r="I15" s="42">
        <v>0.96360000000000012</v>
      </c>
      <c r="J15" s="42">
        <v>1</v>
      </c>
      <c r="K15" s="33">
        <v>3500</v>
      </c>
      <c r="L15" s="43">
        <v>-1.7742399999999998E-2</v>
      </c>
      <c r="M15" s="44">
        <f t="shared" si="0"/>
        <v>-8.2413447999999997E-3</v>
      </c>
      <c r="N15" s="45" t="str">
        <f t="shared" si="1"/>
        <v>ExWarehElecHt</v>
      </c>
      <c r="O15" s="45" t="str">
        <f t="shared" si="2"/>
        <v>ExWarehHtPmpHt</v>
      </c>
      <c r="P15" s="45" t="str">
        <f t="shared" si="3"/>
        <v>ExWarehGasHt</v>
      </c>
      <c r="Q15" s="41" t="str">
        <f t="shared" si="4"/>
        <v>ExWareh</v>
      </c>
      <c r="R15" s="33">
        <v>12</v>
      </c>
    </row>
    <row r="16" spans="1:26">
      <c r="A16" s="31">
        <v>12</v>
      </c>
      <c r="B16" s="3" t="s">
        <v>164</v>
      </c>
      <c r="C16" s="3" t="s">
        <v>162</v>
      </c>
      <c r="D16" s="52" t="s">
        <v>165</v>
      </c>
      <c r="E16" s="4" t="str">
        <f>DGET(A4:E12,E4,E1:E2)</f>
        <v>Unconditioned</v>
      </c>
      <c r="F16" s="41" t="s">
        <v>165</v>
      </c>
      <c r="G16" s="42">
        <v>0.85300665369731465</v>
      </c>
      <c r="H16" s="42">
        <v>0.97</v>
      </c>
      <c r="I16" s="42">
        <v>1.0524733203639813</v>
      </c>
      <c r="J16" s="42">
        <v>1</v>
      </c>
      <c r="K16" s="33">
        <v>6500</v>
      </c>
      <c r="L16" s="43">
        <v>-1.0008533333333333E-2</v>
      </c>
      <c r="M16" s="44">
        <f t="shared" si="0"/>
        <v>-4.6489637333333332E-3</v>
      </c>
      <c r="N16" s="45" t="str">
        <f t="shared" si="1"/>
        <v>ExGrocElecHt</v>
      </c>
      <c r="O16" s="45" t="str">
        <f t="shared" si="2"/>
        <v>ExGrocHtPmpHt</v>
      </c>
      <c r="P16" s="45" t="str">
        <f t="shared" si="3"/>
        <v>ExGrocGasHt</v>
      </c>
      <c r="Q16" s="41" t="str">
        <f t="shared" si="4"/>
        <v>ExGroc</v>
      </c>
      <c r="R16" s="33">
        <v>12</v>
      </c>
    </row>
    <row r="17" spans="1:18">
      <c r="A17" s="31">
        <v>13</v>
      </c>
      <c r="B17" s="3" t="s">
        <v>166</v>
      </c>
      <c r="C17" s="3" t="s">
        <v>167</v>
      </c>
      <c r="D17" s="52" t="s">
        <v>168</v>
      </c>
      <c r="E17" s="4"/>
      <c r="F17" s="41" t="s">
        <v>168</v>
      </c>
      <c r="G17" s="42">
        <v>0.69497397374755487</v>
      </c>
      <c r="H17" s="42">
        <v>0.94499999999999995</v>
      </c>
      <c r="I17" s="42">
        <v>1.048573973747555</v>
      </c>
      <c r="J17" s="42">
        <v>1</v>
      </c>
      <c r="K17" s="33">
        <v>6500</v>
      </c>
      <c r="L17" s="43">
        <v>-1.7742399999999998E-2</v>
      </c>
      <c r="M17" s="44">
        <f t="shared" si="0"/>
        <v>-8.2413447999999997E-3</v>
      </c>
      <c r="N17" s="45" t="str">
        <f t="shared" si="1"/>
        <v>ExGrocElecHt</v>
      </c>
      <c r="O17" s="45" t="str">
        <f t="shared" si="2"/>
        <v>ExGrocHtPmpHt</v>
      </c>
      <c r="P17" s="45" t="str">
        <f t="shared" si="3"/>
        <v>ExGrocGasHt</v>
      </c>
      <c r="Q17" s="41" t="str">
        <f t="shared" si="4"/>
        <v>ExGroc</v>
      </c>
      <c r="R17" s="33">
        <v>12</v>
      </c>
    </row>
    <row r="18" spans="1:18">
      <c r="A18" s="31">
        <v>14</v>
      </c>
      <c r="B18" s="3" t="s">
        <v>169</v>
      </c>
      <c r="C18" s="3" t="s">
        <v>170</v>
      </c>
      <c r="D18" s="52" t="s">
        <v>171</v>
      </c>
      <c r="E18" s="4"/>
      <c r="F18" s="41" t="s">
        <v>171</v>
      </c>
      <c r="G18" s="42">
        <v>0.42513248540947907</v>
      </c>
      <c r="H18" s="42">
        <v>0.72499999999999998</v>
      </c>
      <c r="I18" s="42">
        <v>0.96006581874281216</v>
      </c>
      <c r="J18" s="42">
        <v>1</v>
      </c>
      <c r="K18" s="33">
        <v>5000</v>
      </c>
      <c r="L18" s="43">
        <v>-2.6841066666666667E-2</v>
      </c>
      <c r="M18" s="44">
        <f t="shared" si="0"/>
        <v>-1.2467675466666668E-2</v>
      </c>
      <c r="N18" s="45" t="str">
        <f t="shared" si="1"/>
        <v>ExRestElecHt</v>
      </c>
      <c r="O18" s="45" t="str">
        <f t="shared" si="2"/>
        <v>ExRestHtPmpHt</v>
      </c>
      <c r="P18" s="45" t="str">
        <f t="shared" si="3"/>
        <v>ExRestGasHt</v>
      </c>
      <c r="Q18" s="41" t="str">
        <f t="shared" si="4"/>
        <v>ExRest</v>
      </c>
      <c r="R18" s="33">
        <v>12</v>
      </c>
    </row>
    <row r="19" spans="1:18">
      <c r="A19" s="31">
        <v>15</v>
      </c>
      <c r="B19" s="3" t="s">
        <v>172</v>
      </c>
      <c r="C19" s="3" t="s">
        <v>173</v>
      </c>
      <c r="D19" s="52" t="s">
        <v>174</v>
      </c>
      <c r="E19" s="4"/>
      <c r="F19" s="41" t="s">
        <v>174</v>
      </c>
      <c r="G19" s="42">
        <v>0.68527162451627266</v>
      </c>
      <c r="H19" s="42">
        <v>0.9</v>
      </c>
      <c r="I19" s="42">
        <v>1.0479382911829394</v>
      </c>
      <c r="J19" s="42">
        <v>1</v>
      </c>
      <c r="K19" s="33">
        <v>3600</v>
      </c>
      <c r="L19" s="43">
        <v>-1.8197333333333333E-2</v>
      </c>
      <c r="M19" s="44">
        <f t="shared" si="0"/>
        <v>-8.4526613333333334E-3</v>
      </c>
      <c r="N19" s="45" t="str">
        <f t="shared" si="1"/>
        <v>ExHotelElecHt</v>
      </c>
      <c r="O19" s="45" t="str">
        <f t="shared" si="2"/>
        <v>ExHotelHtPmpHt</v>
      </c>
      <c r="P19" s="45" t="str">
        <f t="shared" si="3"/>
        <v>ExHotelGasHt</v>
      </c>
      <c r="Q19" s="41" t="str">
        <f t="shared" si="4"/>
        <v>ExHotel</v>
      </c>
      <c r="R19" s="33">
        <v>12</v>
      </c>
    </row>
    <row r="20" spans="1:18">
      <c r="A20" s="31">
        <v>16</v>
      </c>
      <c r="B20" s="3" t="s">
        <v>175</v>
      </c>
      <c r="C20" s="3" t="s">
        <v>173</v>
      </c>
      <c r="D20" s="52" t="s">
        <v>176</v>
      </c>
      <c r="E20" s="4"/>
      <c r="F20" s="41" t="s">
        <v>176</v>
      </c>
      <c r="G20" s="42">
        <v>0.28912583171216438</v>
      </c>
      <c r="H20" s="42">
        <v>0.65</v>
      </c>
      <c r="I20" s="42">
        <v>0.94192583171216437</v>
      </c>
      <c r="J20" s="42">
        <v>1</v>
      </c>
      <c r="K20" s="33">
        <v>5900</v>
      </c>
      <c r="L20" s="43">
        <v>-3.2755199999999998E-2</v>
      </c>
      <c r="M20" s="44">
        <f t="shared" si="0"/>
        <v>-1.5214790400000001E-2</v>
      </c>
      <c r="N20" s="45" t="str">
        <f t="shared" si="1"/>
        <v>ExHealthElecHt</v>
      </c>
      <c r="O20" s="45" t="str">
        <f t="shared" si="2"/>
        <v>ExHealthHtPmpHt</v>
      </c>
      <c r="P20" s="45" t="str">
        <f t="shared" si="3"/>
        <v>ExHealthGasHt</v>
      </c>
      <c r="Q20" s="41" t="str">
        <f t="shared" si="4"/>
        <v>ExHealth</v>
      </c>
      <c r="R20" s="33">
        <v>12</v>
      </c>
    </row>
    <row r="21" spans="1:18">
      <c r="A21" s="31">
        <v>17</v>
      </c>
      <c r="B21" s="3" t="s">
        <v>177</v>
      </c>
      <c r="C21" s="3" t="s">
        <v>178</v>
      </c>
      <c r="D21" s="52" t="s">
        <v>179</v>
      </c>
      <c r="E21" s="4"/>
      <c r="F21" s="41" t="s">
        <v>179</v>
      </c>
      <c r="G21" s="42">
        <v>0.91873780836733077</v>
      </c>
      <c r="H21" s="42">
        <v>1.02</v>
      </c>
      <c r="I21" s="42">
        <v>1.0819378083673306</v>
      </c>
      <c r="J21" s="42">
        <v>1</v>
      </c>
      <c r="K21" s="33">
        <v>3600</v>
      </c>
      <c r="L21" s="43">
        <v>-8.1887999999999996E-3</v>
      </c>
      <c r="M21" s="44">
        <f t="shared" si="0"/>
        <v>-3.8036976000000002E-3</v>
      </c>
      <c r="N21" s="45" t="str">
        <f t="shared" si="1"/>
        <v>ExHealthElecHt</v>
      </c>
      <c r="O21" s="45" t="str">
        <f t="shared" si="2"/>
        <v>ExHealthHtPmpHt</v>
      </c>
      <c r="P21" s="45" t="str">
        <f t="shared" si="3"/>
        <v>ExHealthGasHt</v>
      </c>
      <c r="Q21" s="41" t="str">
        <f t="shared" si="4"/>
        <v>ExHealth</v>
      </c>
      <c r="R21" s="33">
        <v>12</v>
      </c>
    </row>
    <row r="22" spans="1:18">
      <c r="A22" s="31">
        <v>18</v>
      </c>
      <c r="C22" s="3" t="s">
        <v>180</v>
      </c>
      <c r="D22" s="52" t="s">
        <v>181</v>
      </c>
      <c r="E22" s="4"/>
      <c r="F22" s="41" t="s">
        <v>181</v>
      </c>
      <c r="G22" s="42">
        <v>0.86680489300284569</v>
      </c>
      <c r="H22" s="42">
        <v>1.02</v>
      </c>
      <c r="I22" s="42">
        <v>1.0300048930028456</v>
      </c>
      <c r="J22" s="42">
        <v>1</v>
      </c>
      <c r="K22" s="33">
        <v>4000</v>
      </c>
      <c r="L22" s="43">
        <v>-8.1887999999999996E-3</v>
      </c>
      <c r="M22" s="44">
        <f t="shared" si="0"/>
        <v>-3.8036976000000002E-3</v>
      </c>
      <c r="N22" s="41" t="s">
        <v>182</v>
      </c>
      <c r="O22" s="41" t="s">
        <v>182</v>
      </c>
      <c r="P22" s="41" t="s">
        <v>182</v>
      </c>
      <c r="Q22" s="41" t="str">
        <f t="shared" si="4"/>
        <v>ExCommLight</v>
      </c>
      <c r="R22" s="33">
        <v>12</v>
      </c>
    </row>
    <row r="23" spans="1:18">
      <c r="A23" s="31">
        <v>19</v>
      </c>
      <c r="C23" s="3" t="s">
        <v>180</v>
      </c>
      <c r="D23" s="53" t="s">
        <v>183</v>
      </c>
      <c r="F23" s="41" t="s">
        <v>183</v>
      </c>
      <c r="G23" s="42">
        <v>0.61</v>
      </c>
      <c r="H23" s="42">
        <v>0.80500000000000005</v>
      </c>
      <c r="I23" s="42">
        <v>0.96360000000000012</v>
      </c>
      <c r="J23" s="42">
        <v>1</v>
      </c>
      <c r="K23" s="33">
        <v>2250</v>
      </c>
      <c r="L23" s="43">
        <v>-1.7742399999999998E-2</v>
      </c>
      <c r="M23" s="44">
        <f t="shared" si="0"/>
        <v>-8.2413447999999997E-3</v>
      </c>
      <c r="N23" s="41" t="s">
        <v>184</v>
      </c>
      <c r="O23" s="41" t="s">
        <v>184</v>
      </c>
      <c r="P23" s="41" t="s">
        <v>184</v>
      </c>
      <c r="Q23" s="41" t="s">
        <v>184</v>
      </c>
      <c r="R23" s="33">
        <v>12</v>
      </c>
    </row>
    <row r="24" spans="1:18">
      <c r="A24" s="31">
        <v>20</v>
      </c>
      <c r="C24" s="3" t="s">
        <v>180</v>
      </c>
      <c r="D24" s="53" t="s">
        <v>185</v>
      </c>
      <c r="F24" s="41" t="s">
        <v>185</v>
      </c>
      <c r="G24" s="42">
        <v>0.61</v>
      </c>
      <c r="H24" s="42">
        <v>0.80500000000000005</v>
      </c>
      <c r="I24" s="42">
        <v>0.96360000000000012</v>
      </c>
      <c r="J24" s="42">
        <v>1</v>
      </c>
      <c r="K24" s="33">
        <v>8400</v>
      </c>
      <c r="L24" s="43">
        <v>-1.7742399999999998E-2</v>
      </c>
      <c r="M24" s="44">
        <f t="shared" si="0"/>
        <v>-8.2413447999999997E-3</v>
      </c>
      <c r="N24" s="41" t="s">
        <v>186</v>
      </c>
      <c r="O24" s="41" t="s">
        <v>186</v>
      </c>
      <c r="P24" s="41" t="s">
        <v>186</v>
      </c>
      <c r="Q24" s="41" t="s">
        <v>186</v>
      </c>
      <c r="R24" s="33">
        <v>12</v>
      </c>
    </row>
    <row r="25" spans="1:18">
      <c r="A25" s="31">
        <v>21</v>
      </c>
      <c r="C25" s="3" t="s">
        <v>187</v>
      </c>
      <c r="D25" s="53" t="s">
        <v>188</v>
      </c>
      <c r="F25" s="41" t="s">
        <v>188</v>
      </c>
      <c r="G25" s="42">
        <v>0.61</v>
      </c>
      <c r="H25" s="42">
        <v>0.80500000000000005</v>
      </c>
      <c r="I25" s="42">
        <v>0.96360000000000012</v>
      </c>
      <c r="J25" s="42">
        <v>1</v>
      </c>
      <c r="K25" s="33">
        <v>4500</v>
      </c>
      <c r="L25" s="43">
        <v>-1.7742399999999998E-2</v>
      </c>
      <c r="M25" s="44">
        <f t="shared" si="0"/>
        <v>-8.2413447999999997E-3</v>
      </c>
      <c r="N25" s="41" t="s">
        <v>189</v>
      </c>
      <c r="O25" s="41" t="s">
        <v>189</v>
      </c>
      <c r="P25" s="41" t="s">
        <v>189</v>
      </c>
      <c r="Q25" s="41" t="s">
        <v>189</v>
      </c>
      <c r="R25" s="33">
        <v>12</v>
      </c>
    </row>
    <row r="26" spans="1:18">
      <c r="A26" s="31">
        <v>22</v>
      </c>
      <c r="C26" s="3" t="s">
        <v>190</v>
      </c>
      <c r="D26" s="53" t="s">
        <v>191</v>
      </c>
      <c r="F26" s="41" t="s">
        <v>191</v>
      </c>
      <c r="G26" s="42">
        <v>1</v>
      </c>
      <c r="H26" s="42">
        <v>1</v>
      </c>
      <c r="I26" s="42">
        <v>1</v>
      </c>
      <c r="J26" s="42">
        <v>1</v>
      </c>
      <c r="K26" s="46">
        <v>8760</v>
      </c>
      <c r="L26" s="47">
        <v>0</v>
      </c>
      <c r="M26" s="48">
        <f t="shared" si="0"/>
        <v>0</v>
      </c>
      <c r="N26" s="41" t="str">
        <f t="shared" ref="N26:Q27" si="5">$C25</f>
        <v>Flat</v>
      </c>
      <c r="O26" s="41" t="str">
        <f t="shared" si="5"/>
        <v>Flat</v>
      </c>
      <c r="P26" s="41" t="str">
        <f t="shared" si="5"/>
        <v>Flat</v>
      </c>
      <c r="Q26" s="41" t="str">
        <f t="shared" si="5"/>
        <v>Flat</v>
      </c>
      <c r="R26" s="33">
        <v>12</v>
      </c>
    </row>
    <row r="27" spans="1:18">
      <c r="A27" s="31">
        <v>23</v>
      </c>
      <c r="D27" s="53" t="s">
        <v>192</v>
      </c>
      <c r="F27" s="41" t="s">
        <v>192</v>
      </c>
      <c r="G27" s="42">
        <v>1</v>
      </c>
      <c r="H27" s="42">
        <v>1</v>
      </c>
      <c r="I27" s="42">
        <v>1</v>
      </c>
      <c r="J27" s="42">
        <v>1</v>
      </c>
      <c r="K27" s="46">
        <v>5400</v>
      </c>
      <c r="L27" s="47">
        <v>0</v>
      </c>
      <c r="M27" s="48">
        <f t="shared" si="0"/>
        <v>0</v>
      </c>
      <c r="N27" s="41" t="str">
        <f t="shared" si="5"/>
        <v>StreetLight</v>
      </c>
      <c r="O27" s="41" t="str">
        <f t="shared" si="5"/>
        <v>StreetLight</v>
      </c>
      <c r="P27" s="41" t="str">
        <f t="shared" si="5"/>
        <v>StreetLight</v>
      </c>
      <c r="Q27" s="41" t="str">
        <f t="shared" si="5"/>
        <v>StreetLight</v>
      </c>
      <c r="R27" s="33">
        <v>12</v>
      </c>
    </row>
    <row r="28" spans="1:18" ht="15">
      <c r="A28" s="31">
        <v>24</v>
      </c>
      <c r="D28" s="54"/>
    </row>
    <row r="29" spans="1:18" ht="15">
      <c r="A29" s="31">
        <v>25</v>
      </c>
      <c r="D29" s="54" t="str">
        <f>DGET(A4:D28,D4,D1:D2)</f>
        <v>Exterior 24 Hour Operation</v>
      </c>
    </row>
    <row r="30" spans="1:18" ht="15">
      <c r="A30" s="31">
        <v>26</v>
      </c>
      <c r="D30" s="54"/>
    </row>
    <row r="31" spans="1:18" ht="15">
      <c r="A31" s="31">
        <v>27</v>
      </c>
      <c r="D31" s="54"/>
    </row>
    <row r="32" spans="1:18">
      <c r="A32" s="31">
        <v>28</v>
      </c>
      <c r="D32" s="53"/>
    </row>
    <row r="33" spans="1:4">
      <c r="A33" s="31">
        <v>29</v>
      </c>
      <c r="D33" s="53"/>
    </row>
    <row r="34" spans="1:4">
      <c r="A34" s="31">
        <v>30</v>
      </c>
      <c r="D34" s="51"/>
    </row>
    <row r="35" spans="1:4">
      <c r="D35" s="51"/>
    </row>
    <row r="37" spans="1:4">
      <c r="A37" s="53" t="s">
        <v>103</v>
      </c>
      <c r="D37" s="33" t="s">
        <v>110</v>
      </c>
    </row>
    <row r="38" spans="1:4">
      <c r="A38" s="3">
        <f>Btype</f>
        <v>22</v>
      </c>
      <c r="D38" s="3" t="str">
        <f>DGET(A4:F34,D4,A37:A38)</f>
        <v>Exterior 24 Hour Operation</v>
      </c>
    </row>
  </sheetData>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sheetPr codeName="Sheet10"/>
  <dimension ref="A1:D51"/>
  <sheetViews>
    <sheetView workbookViewId="0">
      <selection activeCell="E25" sqref="E25"/>
    </sheetView>
  </sheetViews>
  <sheetFormatPr defaultColWidth="8" defaultRowHeight="12.75"/>
  <cols>
    <col min="1" max="1" width="15.5" style="3" customWidth="1"/>
    <col min="2" max="2" width="60.125" style="3" customWidth="1"/>
    <col min="3" max="3" width="17.375" style="3" customWidth="1"/>
    <col min="4" max="4" width="12.125" style="3" customWidth="1"/>
    <col min="5" max="16384" width="8" style="3"/>
  </cols>
  <sheetData>
    <row r="1" spans="1:4" ht="15.75">
      <c r="A1" s="3" t="s">
        <v>193</v>
      </c>
      <c r="B1" s="1" t="s">
        <v>194</v>
      </c>
    </row>
    <row r="2" spans="1:4" ht="13.5" thickBot="1">
      <c r="B2" s="62" t="s">
        <v>195</v>
      </c>
    </row>
    <row r="3" spans="1:4" ht="51">
      <c r="B3" s="49" t="s">
        <v>196</v>
      </c>
      <c r="C3" s="49" t="s">
        <v>197</v>
      </c>
      <c r="D3" s="49" t="s">
        <v>198</v>
      </c>
    </row>
    <row r="4" spans="1:4">
      <c r="B4" s="62" t="s">
        <v>199</v>
      </c>
      <c r="C4" s="61" t="s">
        <v>182</v>
      </c>
      <c r="D4" s="43">
        <v>0.46224000000000004</v>
      </c>
    </row>
    <row r="5" spans="1:4">
      <c r="B5" s="62" t="s">
        <v>200</v>
      </c>
      <c r="C5" s="61" t="s">
        <v>201</v>
      </c>
      <c r="D5" s="43">
        <v>0.43012</v>
      </c>
    </row>
    <row r="6" spans="1:4">
      <c r="B6" s="62" t="s">
        <v>202</v>
      </c>
      <c r="C6" s="61" t="s">
        <v>203</v>
      </c>
      <c r="D6" s="43">
        <v>0.46860000000000002</v>
      </c>
    </row>
    <row r="7" spans="1:4">
      <c r="B7" s="62" t="s">
        <v>204</v>
      </c>
      <c r="C7" s="61" t="s">
        <v>205</v>
      </c>
      <c r="D7" s="43">
        <v>0.42377999999999999</v>
      </c>
    </row>
    <row r="8" spans="1:4">
      <c r="B8" s="62" t="s">
        <v>206</v>
      </c>
      <c r="C8" s="61" t="s">
        <v>207</v>
      </c>
      <c r="D8" s="43">
        <v>0.43002000000000001</v>
      </c>
    </row>
    <row r="9" spans="1:4">
      <c r="B9" s="62" t="s">
        <v>208</v>
      </c>
      <c r="C9" s="61" t="s">
        <v>209</v>
      </c>
      <c r="D9" s="43">
        <v>0.45966000000000001</v>
      </c>
    </row>
    <row r="10" spans="1:4">
      <c r="B10" s="62" t="s">
        <v>210</v>
      </c>
      <c r="C10" s="61" t="s">
        <v>211</v>
      </c>
      <c r="D10" s="43">
        <v>0.62230000000000008</v>
      </c>
    </row>
    <row r="11" spans="1:4">
      <c r="B11" s="62" t="s">
        <v>212</v>
      </c>
      <c r="C11" s="61" t="s">
        <v>213</v>
      </c>
      <c r="D11" s="43">
        <v>0.43944</v>
      </c>
    </row>
    <row r="12" spans="1:4">
      <c r="B12" s="62" t="s">
        <v>214</v>
      </c>
      <c r="C12" s="61" t="s">
        <v>215</v>
      </c>
      <c r="D12" s="43">
        <v>0.4677</v>
      </c>
    </row>
    <row r="13" spans="1:4">
      <c r="B13" s="62" t="s">
        <v>216</v>
      </c>
      <c r="C13" s="61" t="s">
        <v>217</v>
      </c>
      <c r="D13" s="43">
        <v>0.45980000000000004</v>
      </c>
    </row>
    <row r="14" spans="1:4">
      <c r="B14" s="62" t="s">
        <v>218</v>
      </c>
      <c r="C14" s="61" t="s">
        <v>219</v>
      </c>
      <c r="D14" s="43">
        <v>0.50822000000000001</v>
      </c>
    </row>
    <row r="15" spans="1:4">
      <c r="B15" s="62" t="s">
        <v>220</v>
      </c>
      <c r="C15" s="61" t="s">
        <v>221</v>
      </c>
      <c r="D15" s="43">
        <v>0.44824000000000003</v>
      </c>
    </row>
    <row r="16" spans="1:4">
      <c r="B16" s="62" t="s">
        <v>222</v>
      </c>
      <c r="C16" s="61" t="s">
        <v>223</v>
      </c>
      <c r="D16" s="43">
        <v>0.46314</v>
      </c>
    </row>
    <row r="17" spans="2:4">
      <c r="B17" s="62" t="s">
        <v>224</v>
      </c>
      <c r="C17" s="61" t="s">
        <v>225</v>
      </c>
      <c r="D17" s="43">
        <v>0.46783999999999998</v>
      </c>
    </row>
    <row r="18" spans="2:4">
      <c r="B18" s="62" t="s">
        <v>226</v>
      </c>
      <c r="C18" s="61" t="s">
        <v>227</v>
      </c>
      <c r="D18" s="43">
        <v>0.50966</v>
      </c>
    </row>
    <row r="19" spans="2:4">
      <c r="B19" s="62" t="s">
        <v>228</v>
      </c>
      <c r="C19" s="61" t="s">
        <v>229</v>
      </c>
      <c r="D19" s="43">
        <v>0.46660000000000001</v>
      </c>
    </row>
    <row r="20" spans="2:4">
      <c r="B20" s="62" t="s">
        <v>230</v>
      </c>
      <c r="C20" s="61" t="s">
        <v>231</v>
      </c>
      <c r="D20" s="43">
        <v>0.48411999999999999</v>
      </c>
    </row>
    <row r="21" spans="2:4">
      <c r="B21" s="62" t="s">
        <v>232</v>
      </c>
      <c r="C21" s="61" t="s">
        <v>233</v>
      </c>
      <c r="D21" s="43">
        <v>0.45566000000000001</v>
      </c>
    </row>
    <row r="22" spans="2:4">
      <c r="B22" s="62" t="s">
        <v>234</v>
      </c>
      <c r="C22" s="61" t="s">
        <v>235</v>
      </c>
      <c r="D22" s="43">
        <v>0.46233999999999997</v>
      </c>
    </row>
    <row r="23" spans="2:4">
      <c r="B23" s="62" t="s">
        <v>236</v>
      </c>
      <c r="C23" s="61" t="s">
        <v>237</v>
      </c>
      <c r="D23" s="43">
        <v>0.45566000000000001</v>
      </c>
    </row>
    <row r="24" spans="2:4">
      <c r="B24" s="62" t="s">
        <v>238</v>
      </c>
      <c r="C24" s="61" t="s">
        <v>239</v>
      </c>
      <c r="D24" s="43">
        <v>0.45676</v>
      </c>
    </row>
    <row r="25" spans="2:4">
      <c r="B25" s="62" t="s">
        <v>240</v>
      </c>
      <c r="C25" s="61" t="s">
        <v>182</v>
      </c>
      <c r="D25" s="43">
        <v>0.46224000000000004</v>
      </c>
    </row>
    <row r="26" spans="2:4">
      <c r="B26" s="62" t="s">
        <v>241</v>
      </c>
      <c r="C26" s="61" t="s">
        <v>242</v>
      </c>
      <c r="D26" s="43">
        <v>0.44023999999999996</v>
      </c>
    </row>
    <row r="27" spans="2:4">
      <c r="B27" s="62" t="s">
        <v>243</v>
      </c>
      <c r="C27" s="61" t="s">
        <v>244</v>
      </c>
      <c r="D27" s="43">
        <v>0.49806</v>
      </c>
    </row>
    <row r="28" spans="2:4">
      <c r="B28" s="62" t="s">
        <v>245</v>
      </c>
      <c r="C28" s="61" t="s">
        <v>246</v>
      </c>
      <c r="D28" s="43">
        <v>0.42887999999999998</v>
      </c>
    </row>
    <row r="29" spans="2:4">
      <c r="B29" s="62" t="s">
        <v>247</v>
      </c>
      <c r="C29" s="61" t="s">
        <v>248</v>
      </c>
      <c r="D29" s="43">
        <v>0.43937999999999999</v>
      </c>
    </row>
    <row r="30" spans="2:4">
      <c r="B30" s="62" t="s">
        <v>249</v>
      </c>
      <c r="C30" s="61" t="s">
        <v>250</v>
      </c>
      <c r="D30" s="43">
        <v>0.46433999999999997</v>
      </c>
    </row>
    <row r="31" spans="2:4">
      <c r="B31" s="62" t="s">
        <v>251</v>
      </c>
      <c r="C31" s="61" t="s">
        <v>252</v>
      </c>
      <c r="D31" s="43">
        <v>0.54624000000000006</v>
      </c>
    </row>
    <row r="32" spans="2:4">
      <c r="B32" s="62" t="s">
        <v>253</v>
      </c>
      <c r="C32" s="61" t="s">
        <v>254</v>
      </c>
      <c r="D32" s="43">
        <v>0.4395</v>
      </c>
    </row>
    <row r="33" spans="2:4">
      <c r="B33" s="62" t="s">
        <v>255</v>
      </c>
      <c r="C33" s="61" t="s">
        <v>256</v>
      </c>
      <c r="D33" s="43">
        <v>0.45219999999999999</v>
      </c>
    </row>
    <row r="34" spans="2:4">
      <c r="B34" s="62" t="s">
        <v>257</v>
      </c>
      <c r="C34" s="61" t="s">
        <v>258</v>
      </c>
      <c r="D34" s="43">
        <v>0.48394000000000004</v>
      </c>
    </row>
    <row r="35" spans="2:4">
      <c r="B35" s="62" t="s">
        <v>259</v>
      </c>
      <c r="C35" s="61" t="s">
        <v>260</v>
      </c>
      <c r="D35" s="43">
        <v>0.47043999999999997</v>
      </c>
    </row>
    <row r="36" spans="2:4">
      <c r="B36" s="62" t="s">
        <v>261</v>
      </c>
      <c r="C36" s="61" t="s">
        <v>262</v>
      </c>
      <c r="D36" s="43">
        <v>0.48022000000000004</v>
      </c>
    </row>
    <row r="37" spans="2:4">
      <c r="B37" s="62" t="s">
        <v>263</v>
      </c>
      <c r="C37" s="61" t="s">
        <v>264</v>
      </c>
      <c r="D37" s="43">
        <v>0.43457999999999997</v>
      </c>
    </row>
    <row r="38" spans="2:4">
      <c r="B38" s="62" t="s">
        <v>265</v>
      </c>
      <c r="C38" s="61" t="s">
        <v>266</v>
      </c>
      <c r="D38" s="43">
        <v>0.48547999999999997</v>
      </c>
    </row>
    <row r="39" spans="2:4">
      <c r="B39" s="62" t="s">
        <v>267</v>
      </c>
      <c r="C39" s="61" t="s">
        <v>268</v>
      </c>
      <c r="D39" s="43">
        <v>0.43019999999999997</v>
      </c>
    </row>
    <row r="40" spans="2:4">
      <c r="B40" s="62" t="s">
        <v>269</v>
      </c>
      <c r="C40" s="61" t="s">
        <v>270</v>
      </c>
      <c r="D40" s="43">
        <v>0.44314000000000003</v>
      </c>
    </row>
    <row r="41" spans="2:4">
      <c r="B41" s="62" t="s">
        <v>271</v>
      </c>
      <c r="C41" s="61" t="s">
        <v>272</v>
      </c>
      <c r="D41" s="43">
        <v>0.51482000000000006</v>
      </c>
    </row>
    <row r="42" spans="2:4">
      <c r="B42" s="62" t="s">
        <v>273</v>
      </c>
      <c r="C42" s="61" t="s">
        <v>274</v>
      </c>
      <c r="D42" s="43">
        <v>0.46060000000000001</v>
      </c>
    </row>
    <row r="43" spans="2:4">
      <c r="B43" s="62" t="s">
        <v>275</v>
      </c>
      <c r="C43" s="61" t="s">
        <v>276</v>
      </c>
      <c r="D43" s="43">
        <v>0.48148000000000002</v>
      </c>
    </row>
    <row r="44" spans="2:4">
      <c r="B44" s="62" t="s">
        <v>277</v>
      </c>
      <c r="C44" s="61" t="s">
        <v>278</v>
      </c>
      <c r="D44" s="43">
        <v>0.45498</v>
      </c>
    </row>
    <row r="45" spans="2:4">
      <c r="B45" s="62" t="s">
        <v>279</v>
      </c>
      <c r="C45" s="61" t="s">
        <v>280</v>
      </c>
      <c r="D45" s="43">
        <v>0.46304000000000001</v>
      </c>
    </row>
    <row r="46" spans="2:4">
      <c r="B46" s="41" t="s">
        <v>281</v>
      </c>
      <c r="C46" s="41" t="s">
        <v>282</v>
      </c>
      <c r="D46" s="43">
        <v>0.40406000000000003</v>
      </c>
    </row>
    <row r="47" spans="2:4">
      <c r="B47" s="41" t="s">
        <v>283</v>
      </c>
      <c r="C47" s="41" t="s">
        <v>284</v>
      </c>
      <c r="D47" s="43">
        <v>0.44352000000000003</v>
      </c>
    </row>
    <row r="48" spans="2:4">
      <c r="B48" s="41" t="s">
        <v>192</v>
      </c>
      <c r="C48" s="41" t="s">
        <v>190</v>
      </c>
      <c r="D48" s="43">
        <v>0.36021999999999998</v>
      </c>
    </row>
    <row r="49" spans="2:4">
      <c r="B49" s="41" t="s">
        <v>285</v>
      </c>
      <c r="C49" s="41" t="s">
        <v>184</v>
      </c>
      <c r="D49" s="43">
        <v>0.49199999999999999</v>
      </c>
    </row>
    <row r="50" spans="2:4">
      <c r="B50" s="41" t="s">
        <v>286</v>
      </c>
      <c r="C50" s="41" t="s">
        <v>186</v>
      </c>
      <c r="D50" s="43">
        <v>0.4254</v>
      </c>
    </row>
    <row r="51" spans="2:4">
      <c r="B51" s="41" t="s">
        <v>287</v>
      </c>
      <c r="C51" s="41" t="s">
        <v>189</v>
      </c>
      <c r="D51" s="43">
        <v>0.47815999999999997</v>
      </c>
    </row>
  </sheetData>
  <sheetProtection sheet="1" object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1"/>
  <dimension ref="A4:H26"/>
  <sheetViews>
    <sheetView topLeftCell="C1" zoomScale="75" workbookViewId="0">
      <selection activeCell="H9" sqref="H9"/>
    </sheetView>
  </sheetViews>
  <sheetFormatPr defaultRowHeight="15.75"/>
  <cols>
    <col min="2" max="2" width="40.25" customWidth="1"/>
    <col min="3" max="3" width="11.5" customWidth="1"/>
    <col min="4" max="4" width="27.75" customWidth="1"/>
    <col min="5" max="5" width="8.125" customWidth="1"/>
    <col min="6" max="6" width="46.25" customWidth="1"/>
    <col min="7" max="7" width="28.625" customWidth="1"/>
    <col min="8" max="8" width="17.75" customWidth="1"/>
  </cols>
  <sheetData>
    <row r="4" spans="1:8" s="64" customFormat="1" ht="31.5">
      <c r="A4" s="63" t="s">
        <v>288</v>
      </c>
      <c r="B4" s="63" t="s">
        <v>289</v>
      </c>
      <c r="C4" s="63" t="s">
        <v>290</v>
      </c>
      <c r="D4" s="63" t="s">
        <v>291</v>
      </c>
      <c r="E4" s="63" t="s">
        <v>292</v>
      </c>
      <c r="F4" s="63" t="s">
        <v>293</v>
      </c>
      <c r="G4" s="63" t="s">
        <v>294</v>
      </c>
      <c r="H4" s="63" t="s">
        <v>295</v>
      </c>
    </row>
    <row r="5" spans="1:8" ht="45">
      <c r="A5" s="65">
        <v>1</v>
      </c>
      <c r="B5" s="69" t="s">
        <v>296</v>
      </c>
      <c r="C5" s="68">
        <v>39067</v>
      </c>
      <c r="D5" s="68" t="s">
        <v>297</v>
      </c>
      <c r="E5" s="67" t="s">
        <v>298</v>
      </c>
      <c r="F5" s="69" t="s">
        <v>299</v>
      </c>
      <c r="G5" s="68" t="s">
        <v>300</v>
      </c>
      <c r="H5" s="68">
        <v>38702</v>
      </c>
    </row>
    <row r="6" spans="1:8" ht="45">
      <c r="A6" s="65">
        <v>2</v>
      </c>
      <c r="B6" s="69" t="s">
        <v>301</v>
      </c>
      <c r="C6" s="68">
        <v>39067</v>
      </c>
      <c r="D6" s="68" t="s">
        <v>297</v>
      </c>
      <c r="E6" s="67" t="s">
        <v>302</v>
      </c>
      <c r="F6" s="69" t="s">
        <v>303</v>
      </c>
      <c r="G6" s="68" t="s">
        <v>300</v>
      </c>
      <c r="H6" s="68">
        <v>38702</v>
      </c>
    </row>
    <row r="7" spans="1:8" ht="45">
      <c r="A7" s="65">
        <v>3</v>
      </c>
      <c r="B7" s="69" t="s">
        <v>304</v>
      </c>
      <c r="C7" s="68">
        <v>39058</v>
      </c>
      <c r="D7" s="68" t="s">
        <v>297</v>
      </c>
      <c r="E7" s="67" t="s">
        <v>302</v>
      </c>
      <c r="F7" s="69" t="s">
        <v>305</v>
      </c>
      <c r="G7" s="68" t="s">
        <v>300</v>
      </c>
      <c r="H7" s="68">
        <v>38702</v>
      </c>
    </row>
    <row r="8" spans="1:8" ht="60">
      <c r="A8" s="65">
        <v>4</v>
      </c>
      <c r="B8" s="69" t="s">
        <v>306</v>
      </c>
      <c r="C8" s="68">
        <v>39067</v>
      </c>
      <c r="D8" s="68" t="s">
        <v>297</v>
      </c>
      <c r="E8" s="67" t="s">
        <v>302</v>
      </c>
      <c r="F8" s="69" t="s">
        <v>307</v>
      </c>
      <c r="G8" s="68" t="s">
        <v>300</v>
      </c>
      <c r="H8" s="68">
        <v>38702</v>
      </c>
    </row>
    <row r="9" spans="1:8" ht="45.75">
      <c r="A9" s="65">
        <v>5</v>
      </c>
      <c r="B9" s="66" t="s">
        <v>308</v>
      </c>
      <c r="C9" s="68">
        <v>38874</v>
      </c>
      <c r="D9" s="68" t="s">
        <v>309</v>
      </c>
      <c r="E9" s="67" t="s">
        <v>298</v>
      </c>
      <c r="F9" s="67" t="s">
        <v>310</v>
      </c>
      <c r="G9" s="68" t="s">
        <v>311</v>
      </c>
      <c r="H9" s="68">
        <v>38874</v>
      </c>
    </row>
    <row r="10" spans="1:8">
      <c r="A10" s="65"/>
      <c r="B10" s="66"/>
      <c r="C10" s="67"/>
      <c r="D10" s="67"/>
      <c r="E10" s="67"/>
      <c r="F10" s="67"/>
      <c r="G10" s="70"/>
      <c r="H10" s="70"/>
    </row>
    <row r="11" spans="1:8">
      <c r="A11" s="65"/>
      <c r="B11" s="66"/>
      <c r="C11" s="67"/>
      <c r="D11" s="67"/>
      <c r="E11" s="67"/>
      <c r="F11" s="67"/>
      <c r="G11" s="70"/>
      <c r="H11" s="70"/>
    </row>
    <row r="12" spans="1:8">
      <c r="A12" s="65"/>
      <c r="B12" s="66"/>
      <c r="C12" s="67"/>
      <c r="D12" s="67"/>
      <c r="E12" s="67"/>
      <c r="F12" s="67"/>
      <c r="G12" s="70"/>
      <c r="H12" s="70"/>
    </row>
    <row r="13" spans="1:8">
      <c r="A13" s="65"/>
      <c r="B13" s="66"/>
      <c r="C13" s="67"/>
      <c r="D13" s="67"/>
      <c r="E13" s="67"/>
      <c r="F13" s="67"/>
      <c r="G13" s="70"/>
      <c r="H13" s="70"/>
    </row>
    <row r="14" spans="1:8">
      <c r="A14" s="65"/>
      <c r="B14" s="66"/>
      <c r="C14" s="67"/>
      <c r="D14" s="67"/>
      <c r="E14" s="67"/>
      <c r="F14" s="67"/>
      <c r="G14" s="70"/>
      <c r="H14" s="70"/>
    </row>
    <row r="15" spans="1:8">
      <c r="A15" s="65"/>
      <c r="B15" s="66"/>
      <c r="C15" s="67"/>
      <c r="D15" s="67"/>
      <c r="E15" s="67"/>
      <c r="F15" s="67"/>
      <c r="G15" s="70"/>
      <c r="H15" s="70"/>
    </row>
    <row r="16" spans="1:8">
      <c r="A16" s="65"/>
      <c r="B16" s="66"/>
      <c r="C16" s="67"/>
      <c r="D16" s="67"/>
      <c r="E16" s="67"/>
      <c r="F16" s="67"/>
      <c r="G16" s="70"/>
      <c r="H16" s="70"/>
    </row>
    <row r="17" spans="1:8">
      <c r="A17" s="65"/>
      <c r="B17" s="66"/>
      <c r="C17" s="67"/>
      <c r="D17" s="67"/>
      <c r="E17" s="67"/>
      <c r="F17" s="67"/>
      <c r="G17" s="70"/>
      <c r="H17" s="70"/>
    </row>
    <row r="18" spans="1:8">
      <c r="A18" s="65"/>
      <c r="B18" s="66"/>
      <c r="C18" s="67"/>
      <c r="D18" s="67"/>
      <c r="E18" s="67"/>
      <c r="F18" s="67"/>
      <c r="G18" s="70"/>
      <c r="H18" s="70"/>
    </row>
    <row r="19" spans="1:8">
      <c r="A19" s="65"/>
      <c r="B19" s="66"/>
      <c r="C19" s="67"/>
      <c r="D19" s="67"/>
      <c r="E19" s="67"/>
      <c r="F19" s="67"/>
      <c r="G19" s="70"/>
      <c r="H19" s="70"/>
    </row>
    <row r="20" spans="1:8">
      <c r="A20" s="65"/>
      <c r="B20" s="66"/>
      <c r="C20" s="67"/>
      <c r="D20" s="67"/>
      <c r="E20" s="67"/>
      <c r="F20" s="67"/>
      <c r="G20" s="70"/>
      <c r="H20" s="70"/>
    </row>
    <row r="21" spans="1:8">
      <c r="A21" s="65"/>
      <c r="B21" s="66"/>
      <c r="C21" s="67"/>
      <c r="D21" s="67"/>
      <c r="E21" s="67"/>
      <c r="F21" s="67"/>
      <c r="G21" s="70"/>
      <c r="H21" s="70"/>
    </row>
    <row r="22" spans="1:8">
      <c r="A22" s="65"/>
      <c r="B22" s="66"/>
      <c r="C22" s="67"/>
      <c r="D22" s="67"/>
      <c r="E22" s="67"/>
      <c r="F22" s="67"/>
      <c r="G22" s="70"/>
      <c r="H22" s="70"/>
    </row>
    <row r="23" spans="1:8">
      <c r="A23" s="65"/>
      <c r="B23" s="66"/>
      <c r="C23" s="67"/>
      <c r="D23" s="67"/>
      <c r="E23" s="67"/>
      <c r="F23" s="67"/>
      <c r="G23" s="70"/>
      <c r="H23" s="70"/>
    </row>
    <row r="24" spans="1:8">
      <c r="A24" s="65"/>
      <c r="B24" s="66"/>
      <c r="C24" s="67"/>
      <c r="D24" s="67"/>
      <c r="E24" s="67"/>
      <c r="F24" s="67"/>
      <c r="G24" s="70"/>
      <c r="H24" s="70"/>
    </row>
    <row r="25" spans="1:8">
      <c r="A25" s="65"/>
      <c r="B25" s="66"/>
      <c r="C25" s="67"/>
      <c r="D25" s="67"/>
      <c r="E25" s="67"/>
      <c r="F25" s="67"/>
      <c r="G25" s="70"/>
      <c r="H25" s="70"/>
    </row>
    <row r="26" spans="1:8">
      <c r="A26" s="65"/>
      <c r="B26" s="66"/>
      <c r="C26" s="67"/>
      <c r="D26" s="67"/>
      <c r="E26" s="67"/>
      <c r="F26" s="67"/>
      <c r="G26" s="70"/>
      <c r="H26" s="70"/>
    </row>
  </sheetData>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2"/>
  <dimension ref="A1:Z35"/>
  <sheetViews>
    <sheetView zoomScale="103" workbookViewId="0">
      <pane xSplit="1" ySplit="4" topLeftCell="C5" activePane="bottomRight" state="frozen"/>
      <selection activeCell="B7" sqref="B7:B8"/>
      <selection pane="topRight" activeCell="B7" sqref="B7:B8"/>
      <selection pane="bottomLeft" activeCell="B7" sqref="B7:B8"/>
      <selection pane="bottomRight" activeCell="D2" sqref="D2"/>
    </sheetView>
  </sheetViews>
  <sheetFormatPr defaultColWidth="8" defaultRowHeight="12.75"/>
  <cols>
    <col min="1" max="1" width="8" style="3"/>
    <col min="2" max="2" width="12.75" style="3" customWidth="1"/>
    <col min="3" max="3" width="9" style="3" customWidth="1"/>
    <col min="4" max="4" width="35.25" style="3" customWidth="1"/>
    <col min="5" max="5" width="21.25" style="3" customWidth="1"/>
    <col min="6" max="6" width="29.75" style="3" customWidth="1"/>
    <col min="7" max="9" width="10" style="3" customWidth="1"/>
    <col min="10" max="11" width="9.375" style="3" customWidth="1"/>
    <col min="12" max="12" width="13.75" style="3" customWidth="1"/>
    <col min="13" max="13" width="12.25" style="3" customWidth="1"/>
    <col min="14" max="14" width="15.25" style="3" customWidth="1"/>
    <col min="15" max="15" width="16.625" style="3" customWidth="1"/>
    <col min="16" max="16" width="14.875" style="3" customWidth="1"/>
    <col min="17" max="17" width="12.625" style="3" customWidth="1"/>
    <col min="18" max="18" width="9.125" style="3" customWidth="1"/>
    <col min="19" max="16384" width="8" style="3"/>
  </cols>
  <sheetData>
    <row r="1" spans="1:26">
      <c r="D1" s="30" t="s">
        <v>312</v>
      </c>
      <c r="E1" s="30" t="s">
        <v>313</v>
      </c>
      <c r="F1" s="31">
        <v>1</v>
      </c>
      <c r="G1" s="31">
        <v>2</v>
      </c>
      <c r="H1" s="31">
        <v>3</v>
      </c>
      <c r="I1" s="31">
        <v>4</v>
      </c>
      <c r="J1" s="31">
        <v>5</v>
      </c>
      <c r="K1" s="31">
        <v>6</v>
      </c>
      <c r="L1" s="31">
        <v>7</v>
      </c>
      <c r="M1" s="31">
        <v>8</v>
      </c>
      <c r="N1" s="31">
        <v>9</v>
      </c>
      <c r="O1" s="31">
        <v>10</v>
      </c>
      <c r="P1" s="31">
        <v>11</v>
      </c>
      <c r="Q1" s="31">
        <v>12</v>
      </c>
      <c r="R1" s="31">
        <v>13</v>
      </c>
      <c r="S1" s="31">
        <v>14</v>
      </c>
      <c r="T1" s="31">
        <v>15</v>
      </c>
      <c r="U1" s="31">
        <v>16</v>
      </c>
      <c r="V1" s="31">
        <v>17</v>
      </c>
      <c r="W1" s="31">
        <v>18</v>
      </c>
      <c r="X1" s="31">
        <v>19</v>
      </c>
      <c r="Y1" s="31">
        <v>20</v>
      </c>
      <c r="Z1" s="31">
        <v>21</v>
      </c>
    </row>
    <row r="2" spans="1:26" ht="39" thickBot="1">
      <c r="D2" s="60">
        <v>13</v>
      </c>
      <c r="E2" s="60">
        <v>2</v>
      </c>
      <c r="M2" s="32" t="s">
        <v>104</v>
      </c>
    </row>
    <row r="3" spans="1:26" ht="26.45" customHeight="1">
      <c r="B3" s="114" t="s">
        <v>105</v>
      </c>
      <c r="C3" s="115"/>
      <c r="D3" s="115"/>
      <c r="E3" s="34"/>
      <c r="G3" s="116" t="s">
        <v>106</v>
      </c>
      <c r="H3" s="117"/>
      <c r="I3" s="117"/>
      <c r="J3" s="117"/>
      <c r="M3" s="35">
        <v>0.46450000000000002</v>
      </c>
      <c r="N3" s="118" t="s">
        <v>107</v>
      </c>
      <c r="O3" s="118"/>
      <c r="P3" s="118"/>
      <c r="Q3" s="118"/>
    </row>
    <row r="4" spans="1:26" ht="63.75">
      <c r="B4" s="33" t="s">
        <v>108</v>
      </c>
      <c r="C4" s="33" t="s">
        <v>109</v>
      </c>
      <c r="D4" s="33" t="s">
        <v>110</v>
      </c>
      <c r="E4" s="37" t="s">
        <v>314</v>
      </c>
      <c r="F4" s="38" t="s">
        <v>112</v>
      </c>
      <c r="G4" s="36" t="s">
        <v>113</v>
      </c>
      <c r="H4" s="36" t="s">
        <v>114</v>
      </c>
      <c r="I4" s="36" t="s">
        <v>115</v>
      </c>
      <c r="J4" s="36" t="s">
        <v>116</v>
      </c>
      <c r="K4" s="36" t="s">
        <v>117</v>
      </c>
      <c r="L4" s="39" t="s">
        <v>118</v>
      </c>
      <c r="M4" s="36" t="s">
        <v>119</v>
      </c>
      <c r="N4" s="36" t="s">
        <v>113</v>
      </c>
      <c r="O4" s="36" t="s">
        <v>114</v>
      </c>
      <c r="P4" s="36" t="s">
        <v>115</v>
      </c>
      <c r="Q4" s="36" t="s">
        <v>116</v>
      </c>
      <c r="R4" s="40" t="s">
        <v>120</v>
      </c>
    </row>
    <row r="5" spans="1:26">
      <c r="A5" s="31">
        <v>1</v>
      </c>
      <c r="B5" s="3" t="s">
        <v>121</v>
      </c>
      <c r="C5" s="3" t="s">
        <v>122</v>
      </c>
      <c r="D5" s="79" t="s">
        <v>315</v>
      </c>
      <c r="E5" s="79" t="s">
        <v>316</v>
      </c>
      <c r="F5" s="41" t="s">
        <v>131</v>
      </c>
      <c r="G5" s="42">
        <v>0.91608194383829877</v>
      </c>
      <c r="H5" s="42">
        <v>1.02</v>
      </c>
      <c r="I5" s="42">
        <v>1.0792819438382986</v>
      </c>
      <c r="J5" s="42">
        <v>1</v>
      </c>
      <c r="K5" s="33">
        <v>4200</v>
      </c>
      <c r="L5" s="43">
        <v>-8.1887999999999996E-3</v>
      </c>
      <c r="M5" s="44">
        <f t="shared" ref="M5:M26" si="0">$M$3*L5</f>
        <v>-3.8036976000000002E-3</v>
      </c>
      <c r="N5" s="45" t="str">
        <f t="shared" ref="N5:N20" si="1">CONCATENATE("Ex",C5,"ElecHt")</f>
        <v>ExLgOffElecHt</v>
      </c>
      <c r="O5" s="45" t="str">
        <f t="shared" ref="O5:O20" si="2">CONCATENATE("Ex",C5,"HtPmpHt")</f>
        <v>ExLgOffHtPmpHt</v>
      </c>
      <c r="P5" s="45" t="str">
        <f t="shared" ref="P5:P20" si="3">CONCATENATE("Ex",C5,"GasHt")</f>
        <v>ExLgOffGasHt</v>
      </c>
      <c r="Q5" s="41" t="str">
        <f t="shared" ref="Q5:Q21" si="4">CONCATENATE("Ex",C5)</f>
        <v>ExLgOff</v>
      </c>
      <c r="R5" s="33">
        <v>12</v>
      </c>
    </row>
    <row r="6" spans="1:26">
      <c r="A6" s="31">
        <v>2</v>
      </c>
      <c r="B6" s="3" t="s">
        <v>130</v>
      </c>
      <c r="C6" s="3" t="s">
        <v>122</v>
      </c>
      <c r="D6" s="52" t="s">
        <v>131</v>
      </c>
      <c r="E6" s="50" t="s">
        <v>113</v>
      </c>
      <c r="F6" s="41" t="s">
        <v>135</v>
      </c>
      <c r="G6" s="42">
        <v>0.90507113507518966</v>
      </c>
      <c r="H6" s="42">
        <v>1.02</v>
      </c>
      <c r="I6" s="42">
        <v>1.0682711350751894</v>
      </c>
      <c r="J6" s="42">
        <v>1</v>
      </c>
      <c r="K6" s="33">
        <v>3600</v>
      </c>
      <c r="L6" s="43">
        <v>-8.1887999999999996E-3</v>
      </c>
      <c r="M6" s="44">
        <f t="shared" si="0"/>
        <v>-3.8036976000000002E-3</v>
      </c>
      <c r="N6" s="45" t="str">
        <f t="shared" si="1"/>
        <v>ExLgOffElecHt</v>
      </c>
      <c r="O6" s="45" t="str">
        <f t="shared" si="2"/>
        <v>ExLgOffHtPmpHt</v>
      </c>
      <c r="P6" s="45" t="str">
        <f t="shared" si="3"/>
        <v>ExLgOffGasHt</v>
      </c>
      <c r="Q6" s="41" t="str">
        <f t="shared" si="4"/>
        <v>ExLgOff</v>
      </c>
      <c r="R6" s="33">
        <v>12</v>
      </c>
    </row>
    <row r="7" spans="1:26">
      <c r="A7" s="31">
        <v>3</v>
      </c>
      <c r="B7" s="3" t="s">
        <v>133</v>
      </c>
      <c r="C7" s="3" t="s">
        <v>134</v>
      </c>
      <c r="D7" s="52" t="s">
        <v>135</v>
      </c>
      <c r="E7" s="4" t="s">
        <v>114</v>
      </c>
      <c r="F7" s="41" t="s">
        <v>140</v>
      </c>
      <c r="G7" s="42">
        <v>0.69090427312002767</v>
      </c>
      <c r="H7" s="42">
        <v>0.95499999999999996</v>
      </c>
      <c r="I7" s="42">
        <v>1.1170376064533609</v>
      </c>
      <c r="J7" s="42">
        <v>1</v>
      </c>
      <c r="K7" s="33">
        <v>3000</v>
      </c>
      <c r="L7" s="43">
        <v>-2.1381866666666666E-2</v>
      </c>
      <c r="M7" s="44">
        <f t="shared" si="0"/>
        <v>-9.9318770666666674E-3</v>
      </c>
      <c r="N7" s="45" t="str">
        <f t="shared" si="1"/>
        <v>ExSmOffElecHt</v>
      </c>
      <c r="O7" s="45" t="str">
        <f t="shared" si="2"/>
        <v>ExSmOffHtPmpHt</v>
      </c>
      <c r="P7" s="45" t="str">
        <f t="shared" si="3"/>
        <v>ExSmOffGasHt</v>
      </c>
      <c r="Q7" s="41" t="str">
        <f t="shared" si="4"/>
        <v>ExSmOff</v>
      </c>
      <c r="R7" s="33">
        <v>12</v>
      </c>
    </row>
    <row r="8" spans="1:26">
      <c r="A8" s="31">
        <v>4</v>
      </c>
      <c r="B8" s="3" t="s">
        <v>138</v>
      </c>
      <c r="C8" s="3" t="s">
        <v>139</v>
      </c>
      <c r="D8" s="52" t="s">
        <v>140</v>
      </c>
      <c r="E8" s="4" t="s">
        <v>115</v>
      </c>
      <c r="F8" s="41" t="s">
        <v>143</v>
      </c>
      <c r="G8" s="42">
        <v>0.81860997890071918</v>
      </c>
      <c r="H8" s="42">
        <v>1.0249999999999999</v>
      </c>
      <c r="I8" s="42">
        <v>1.1178099789007192</v>
      </c>
      <c r="J8" s="42">
        <v>1</v>
      </c>
      <c r="K8" s="33">
        <v>4800</v>
      </c>
      <c r="L8" s="43">
        <v>-1.50128E-2</v>
      </c>
      <c r="M8" s="44">
        <f t="shared" si="0"/>
        <v>-6.9734456000000002E-3</v>
      </c>
      <c r="N8" s="45" t="str">
        <f t="shared" si="1"/>
        <v>ExLgRetElecHt</v>
      </c>
      <c r="O8" s="45" t="str">
        <f t="shared" si="2"/>
        <v>ExLgRetHtPmpHt</v>
      </c>
      <c r="P8" s="45" t="str">
        <f t="shared" si="3"/>
        <v>ExLgRetGasHt</v>
      </c>
      <c r="Q8" s="41" t="str">
        <f t="shared" si="4"/>
        <v>ExLgRet</v>
      </c>
      <c r="R8" s="33">
        <v>12</v>
      </c>
    </row>
    <row r="9" spans="1:26">
      <c r="A9" s="31">
        <v>5</v>
      </c>
      <c r="B9" s="3" t="s">
        <v>141</v>
      </c>
      <c r="C9" s="3" t="s">
        <v>142</v>
      </c>
      <c r="D9" s="52" t="s">
        <v>143</v>
      </c>
      <c r="E9" s="5" t="s">
        <v>116</v>
      </c>
      <c r="F9" s="41" t="s">
        <v>147</v>
      </c>
      <c r="G9" s="42">
        <v>0.68089046306021284</v>
      </c>
      <c r="H9" s="42">
        <v>0.92500000000000004</v>
      </c>
      <c r="I9" s="42">
        <v>1.034490463060213</v>
      </c>
      <c r="J9" s="42">
        <v>1</v>
      </c>
      <c r="K9" s="33">
        <v>3900</v>
      </c>
      <c r="L9" s="43">
        <v>-1.7742399999999998E-2</v>
      </c>
      <c r="M9" s="44">
        <f t="shared" si="0"/>
        <v>-8.2413447999999997E-3</v>
      </c>
      <c r="N9" s="45" t="str">
        <f t="shared" si="1"/>
        <v>ExSmRetElecHt</v>
      </c>
      <c r="O9" s="45" t="str">
        <f t="shared" si="2"/>
        <v>ExSmRetHtPmpHt</v>
      </c>
      <c r="P9" s="45" t="str">
        <f t="shared" si="3"/>
        <v>ExSmRetGasHt</v>
      </c>
      <c r="Q9" s="41" t="str">
        <f t="shared" si="4"/>
        <v>ExSmRet</v>
      </c>
      <c r="R9" s="33">
        <v>12</v>
      </c>
    </row>
    <row r="10" spans="1:26">
      <c r="A10" s="31">
        <v>6</v>
      </c>
      <c r="B10" s="3" t="s">
        <v>146</v>
      </c>
      <c r="C10" s="3" t="s">
        <v>142</v>
      </c>
      <c r="D10" s="52" t="s">
        <v>147</v>
      </c>
      <c r="E10" s="50"/>
      <c r="F10" s="41" t="s">
        <v>151</v>
      </c>
      <c r="G10" s="42">
        <v>0.76309370940250187</v>
      </c>
      <c r="H10" s="42">
        <v>0.97499999999999998</v>
      </c>
      <c r="I10" s="42">
        <v>1.0441603760691687</v>
      </c>
      <c r="J10" s="42">
        <v>1</v>
      </c>
      <c r="K10" s="33">
        <v>3400</v>
      </c>
      <c r="L10" s="43">
        <v>-1.4102933333333333E-2</v>
      </c>
      <c r="M10" s="44">
        <f t="shared" si="0"/>
        <v>-6.5508125333333337E-3</v>
      </c>
      <c r="N10" s="45" t="str">
        <f t="shared" si="1"/>
        <v>ExSmRetElecHt</v>
      </c>
      <c r="O10" s="45" t="str">
        <f t="shared" si="2"/>
        <v>ExSmRetHtPmpHt</v>
      </c>
      <c r="P10" s="45" t="str">
        <f t="shared" si="3"/>
        <v>ExSmRetGasHt</v>
      </c>
      <c r="Q10" s="41" t="str">
        <f t="shared" si="4"/>
        <v>ExSmRet</v>
      </c>
      <c r="R10" s="33">
        <v>12</v>
      </c>
    </row>
    <row r="11" spans="1:26">
      <c r="A11" s="31">
        <v>7</v>
      </c>
      <c r="B11" s="3" t="s">
        <v>150</v>
      </c>
      <c r="C11" s="3" t="s">
        <v>139</v>
      </c>
      <c r="D11" s="52" t="s">
        <v>151</v>
      </c>
      <c r="E11" s="4"/>
      <c r="F11" s="41" t="s">
        <v>155</v>
      </c>
      <c r="G11" s="42">
        <v>0.7107865827309866</v>
      </c>
      <c r="H11" s="42">
        <v>0.96499999999999997</v>
      </c>
      <c r="I11" s="42">
        <v>1.1006532493976531</v>
      </c>
      <c r="J11" s="42">
        <v>1</v>
      </c>
      <c r="K11" s="33">
        <v>4000</v>
      </c>
      <c r="L11" s="43">
        <v>-1.9562133333333332E-2</v>
      </c>
      <c r="M11" s="44">
        <f t="shared" si="0"/>
        <v>-9.0866109333333327E-3</v>
      </c>
      <c r="N11" s="45" t="str">
        <f t="shared" si="1"/>
        <v>ExLgRetElecHt</v>
      </c>
      <c r="O11" s="45" t="str">
        <f t="shared" si="2"/>
        <v>ExLgRetHtPmpHt</v>
      </c>
      <c r="P11" s="45" t="str">
        <f t="shared" si="3"/>
        <v>ExLgRetGasHt</v>
      </c>
      <c r="Q11" s="41" t="str">
        <f t="shared" si="4"/>
        <v>ExLgRet</v>
      </c>
      <c r="R11" s="33">
        <v>12</v>
      </c>
    </row>
    <row r="12" spans="1:26">
      <c r="A12" s="31">
        <v>8</v>
      </c>
      <c r="B12" s="3" t="s">
        <v>153</v>
      </c>
      <c r="C12" s="3" t="s">
        <v>154</v>
      </c>
      <c r="D12" s="52" t="s">
        <v>155</v>
      </c>
      <c r="E12" s="4"/>
      <c r="F12" s="41" t="s">
        <v>157</v>
      </c>
      <c r="G12" s="42">
        <v>0.56880821985150298</v>
      </c>
      <c r="H12" s="42">
        <v>0.86</v>
      </c>
      <c r="I12" s="42">
        <v>1.004008219851503</v>
      </c>
      <c r="J12" s="42">
        <v>1</v>
      </c>
      <c r="K12" s="33">
        <v>2400</v>
      </c>
      <c r="L12" s="43">
        <v>-2.18368E-2</v>
      </c>
      <c r="M12" s="44">
        <f t="shared" si="0"/>
        <v>-1.0143193600000001E-2</v>
      </c>
      <c r="N12" s="45" t="str">
        <f t="shared" si="1"/>
        <v>ExSchoolElecHt</v>
      </c>
      <c r="O12" s="45" t="str">
        <f t="shared" si="2"/>
        <v>ExSchoolHtPmpHt</v>
      </c>
      <c r="P12" s="45" t="str">
        <f t="shared" si="3"/>
        <v>ExSchoolGasHt</v>
      </c>
      <c r="Q12" s="41" t="str">
        <f t="shared" si="4"/>
        <v>ExSchool</v>
      </c>
      <c r="R12" s="33">
        <v>12</v>
      </c>
    </row>
    <row r="13" spans="1:26">
      <c r="A13" s="31">
        <v>9</v>
      </c>
      <c r="B13" s="3" t="s">
        <v>156</v>
      </c>
      <c r="C13" s="3" t="s">
        <v>154</v>
      </c>
      <c r="D13" s="52" t="s">
        <v>157</v>
      </c>
      <c r="E13" s="4"/>
      <c r="F13" s="41" t="s">
        <v>160</v>
      </c>
      <c r="G13" s="42">
        <v>0.68206321012448889</v>
      </c>
      <c r="H13" s="42">
        <v>0.95499999999999996</v>
      </c>
      <c r="I13" s="42">
        <v>1.1081965434578223</v>
      </c>
      <c r="J13" s="42">
        <v>1</v>
      </c>
      <c r="K13" s="33">
        <v>3000</v>
      </c>
      <c r="L13" s="43">
        <v>-2.1381866666666666E-2</v>
      </c>
      <c r="M13" s="44">
        <f t="shared" si="0"/>
        <v>-9.9318770666666674E-3</v>
      </c>
      <c r="N13" s="45" t="str">
        <f t="shared" si="1"/>
        <v>ExSchoolElecHt</v>
      </c>
      <c r="O13" s="45" t="str">
        <f t="shared" si="2"/>
        <v>ExSchoolHtPmpHt</v>
      </c>
      <c r="P13" s="45" t="str">
        <f t="shared" si="3"/>
        <v>ExSchoolGasHt</v>
      </c>
      <c r="Q13" s="41" t="str">
        <f t="shared" si="4"/>
        <v>ExSchool</v>
      </c>
      <c r="R13" s="33">
        <v>12</v>
      </c>
    </row>
    <row r="14" spans="1:26">
      <c r="A14" s="31">
        <v>10</v>
      </c>
      <c r="B14" s="3" t="s">
        <v>158</v>
      </c>
      <c r="C14" s="3" t="s">
        <v>159</v>
      </c>
      <c r="D14" s="52" t="s">
        <v>160</v>
      </c>
      <c r="E14" s="4"/>
      <c r="F14" s="41" t="s">
        <v>163</v>
      </c>
      <c r="G14" s="42">
        <v>0.61</v>
      </c>
      <c r="H14" s="42">
        <v>0.80500000000000005</v>
      </c>
      <c r="I14" s="42">
        <v>0.96360000000000012</v>
      </c>
      <c r="J14" s="42">
        <v>1</v>
      </c>
      <c r="K14" s="33">
        <v>3500</v>
      </c>
      <c r="L14" s="43">
        <v>-1.7742399999999998E-2</v>
      </c>
      <c r="M14" s="44">
        <f t="shared" si="0"/>
        <v>-8.2413447999999997E-3</v>
      </c>
      <c r="N14" s="45" t="str">
        <f t="shared" si="1"/>
        <v>ExWarehElecHt</v>
      </c>
      <c r="O14" s="45" t="str">
        <f t="shared" si="2"/>
        <v>ExWarehHtPmpHt</v>
      </c>
      <c r="P14" s="45" t="str">
        <f t="shared" si="3"/>
        <v>ExWarehGasHt</v>
      </c>
      <c r="Q14" s="41" t="str">
        <f t="shared" si="4"/>
        <v>ExWareh</v>
      </c>
      <c r="R14" s="33">
        <v>12</v>
      </c>
    </row>
    <row r="15" spans="1:26">
      <c r="A15" s="31">
        <v>11</v>
      </c>
      <c r="B15" s="3" t="s">
        <v>161</v>
      </c>
      <c r="C15" s="3" t="s">
        <v>162</v>
      </c>
      <c r="D15" s="52" t="s">
        <v>163</v>
      </c>
      <c r="E15" s="4"/>
      <c r="F15" s="41" t="s">
        <v>165</v>
      </c>
      <c r="G15" s="42">
        <v>0.85300665369731465</v>
      </c>
      <c r="H15" s="42">
        <v>0.97</v>
      </c>
      <c r="I15" s="42">
        <v>1.0524733203639813</v>
      </c>
      <c r="J15" s="42">
        <v>1</v>
      </c>
      <c r="K15" s="33">
        <v>6500</v>
      </c>
      <c r="L15" s="43">
        <v>-1.0008533333333333E-2</v>
      </c>
      <c r="M15" s="44">
        <f t="shared" si="0"/>
        <v>-4.6489637333333332E-3</v>
      </c>
      <c r="N15" s="45" t="str">
        <f t="shared" si="1"/>
        <v>ExGrocElecHt</v>
      </c>
      <c r="O15" s="45" t="str">
        <f t="shared" si="2"/>
        <v>ExGrocHtPmpHt</v>
      </c>
      <c r="P15" s="45" t="str">
        <f t="shared" si="3"/>
        <v>ExGrocGasHt</v>
      </c>
      <c r="Q15" s="41" t="str">
        <f t="shared" si="4"/>
        <v>ExGroc</v>
      </c>
      <c r="R15" s="33">
        <v>12</v>
      </c>
    </row>
    <row r="16" spans="1:26">
      <c r="A16" s="31">
        <v>12</v>
      </c>
      <c r="B16" s="3" t="s">
        <v>164</v>
      </c>
      <c r="C16" s="3" t="s">
        <v>162</v>
      </c>
      <c r="D16" s="52" t="s">
        <v>165</v>
      </c>
      <c r="E16" s="4"/>
      <c r="F16" s="41" t="s">
        <v>168</v>
      </c>
      <c r="G16" s="42">
        <v>0.69497397374755487</v>
      </c>
      <c r="H16" s="42">
        <v>0.94499999999999995</v>
      </c>
      <c r="I16" s="42">
        <v>1.048573973747555</v>
      </c>
      <c r="J16" s="42">
        <v>1</v>
      </c>
      <c r="K16" s="33">
        <v>6500</v>
      </c>
      <c r="L16" s="43">
        <v>-1.7742399999999998E-2</v>
      </c>
      <c r="M16" s="44">
        <f t="shared" si="0"/>
        <v>-8.2413447999999997E-3</v>
      </c>
      <c r="N16" s="45" t="str">
        <f t="shared" si="1"/>
        <v>ExGrocElecHt</v>
      </c>
      <c r="O16" s="45" t="str">
        <f t="shared" si="2"/>
        <v>ExGrocHtPmpHt</v>
      </c>
      <c r="P16" s="45" t="str">
        <f t="shared" si="3"/>
        <v>ExGrocGasHt</v>
      </c>
      <c r="Q16" s="41" t="str">
        <f t="shared" si="4"/>
        <v>ExGroc</v>
      </c>
      <c r="R16" s="33">
        <v>12</v>
      </c>
    </row>
    <row r="17" spans="1:18">
      <c r="A17" s="31">
        <v>13</v>
      </c>
      <c r="B17" s="3" t="s">
        <v>166</v>
      </c>
      <c r="C17" s="3" t="s">
        <v>167</v>
      </c>
      <c r="D17" s="52" t="s">
        <v>168</v>
      </c>
      <c r="E17" s="4"/>
      <c r="F17" s="41" t="s">
        <v>171</v>
      </c>
      <c r="G17" s="42">
        <v>0.42513248540947907</v>
      </c>
      <c r="H17" s="42">
        <v>0.72499999999999998</v>
      </c>
      <c r="I17" s="42">
        <v>0.96006581874281216</v>
      </c>
      <c r="J17" s="42">
        <v>1</v>
      </c>
      <c r="K17" s="33">
        <v>5000</v>
      </c>
      <c r="L17" s="43">
        <v>-2.6841066666666667E-2</v>
      </c>
      <c r="M17" s="44">
        <f t="shared" si="0"/>
        <v>-1.2467675466666668E-2</v>
      </c>
      <c r="N17" s="45" t="str">
        <f t="shared" si="1"/>
        <v>ExRestElecHt</v>
      </c>
      <c r="O17" s="45" t="str">
        <f t="shared" si="2"/>
        <v>ExRestHtPmpHt</v>
      </c>
      <c r="P17" s="45" t="str">
        <f t="shared" si="3"/>
        <v>ExRestGasHt</v>
      </c>
      <c r="Q17" s="41" t="str">
        <f t="shared" si="4"/>
        <v>ExRest</v>
      </c>
      <c r="R17" s="33">
        <v>12</v>
      </c>
    </row>
    <row r="18" spans="1:18">
      <c r="A18" s="31">
        <v>14</v>
      </c>
      <c r="B18" s="3" t="s">
        <v>169</v>
      </c>
      <c r="C18" s="3" t="s">
        <v>170</v>
      </c>
      <c r="D18" s="52" t="s">
        <v>171</v>
      </c>
      <c r="E18" s="4"/>
      <c r="F18" s="41" t="s">
        <v>174</v>
      </c>
      <c r="G18" s="42">
        <v>0.68527162451627266</v>
      </c>
      <c r="H18" s="42">
        <v>0.9</v>
      </c>
      <c r="I18" s="42">
        <v>1.0479382911829394</v>
      </c>
      <c r="J18" s="42">
        <v>1</v>
      </c>
      <c r="K18" s="33">
        <v>3600</v>
      </c>
      <c r="L18" s="43">
        <v>-1.8197333333333333E-2</v>
      </c>
      <c r="M18" s="44">
        <f t="shared" si="0"/>
        <v>-8.4526613333333334E-3</v>
      </c>
      <c r="N18" s="45" t="str">
        <f t="shared" si="1"/>
        <v>ExHotelElecHt</v>
      </c>
      <c r="O18" s="45" t="str">
        <f t="shared" si="2"/>
        <v>ExHotelHtPmpHt</v>
      </c>
      <c r="P18" s="45" t="str">
        <f t="shared" si="3"/>
        <v>ExHotelGasHt</v>
      </c>
      <c r="Q18" s="41" t="str">
        <f t="shared" si="4"/>
        <v>ExHotel</v>
      </c>
      <c r="R18" s="33">
        <v>12</v>
      </c>
    </row>
    <row r="19" spans="1:18">
      <c r="A19" s="31">
        <v>15</v>
      </c>
      <c r="B19" s="3" t="s">
        <v>172</v>
      </c>
      <c r="C19" s="3" t="s">
        <v>173</v>
      </c>
      <c r="D19" s="52" t="s">
        <v>174</v>
      </c>
      <c r="E19" s="4"/>
      <c r="F19" s="41" t="s">
        <v>176</v>
      </c>
      <c r="G19" s="42">
        <v>0.28912583171216438</v>
      </c>
      <c r="H19" s="42">
        <v>0.65</v>
      </c>
      <c r="I19" s="42">
        <v>0.94192583171216437</v>
      </c>
      <c r="J19" s="42">
        <v>1</v>
      </c>
      <c r="K19" s="33">
        <v>5900</v>
      </c>
      <c r="L19" s="43">
        <v>-3.2755199999999998E-2</v>
      </c>
      <c r="M19" s="44">
        <f t="shared" si="0"/>
        <v>-1.5214790400000001E-2</v>
      </c>
      <c r="N19" s="45" t="str">
        <f t="shared" si="1"/>
        <v>ExHealthElecHt</v>
      </c>
      <c r="O19" s="45" t="str">
        <f t="shared" si="2"/>
        <v>ExHealthHtPmpHt</v>
      </c>
      <c r="P19" s="45" t="str">
        <f t="shared" si="3"/>
        <v>ExHealthGasHt</v>
      </c>
      <c r="Q19" s="41" t="str">
        <f t="shared" si="4"/>
        <v>ExHealth</v>
      </c>
      <c r="R19" s="33">
        <v>12</v>
      </c>
    </row>
    <row r="20" spans="1:18">
      <c r="A20" s="31">
        <v>16</v>
      </c>
      <c r="B20" s="3" t="s">
        <v>175</v>
      </c>
      <c r="C20" s="3" t="s">
        <v>173</v>
      </c>
      <c r="D20" s="52" t="s">
        <v>176</v>
      </c>
      <c r="E20" s="4"/>
      <c r="F20" s="41" t="s">
        <v>179</v>
      </c>
      <c r="G20" s="42">
        <v>0.91873780836733077</v>
      </c>
      <c r="H20" s="42">
        <v>1.02</v>
      </c>
      <c r="I20" s="42">
        <v>1.0819378083673306</v>
      </c>
      <c r="J20" s="42">
        <v>1</v>
      </c>
      <c r="K20" s="33">
        <v>3600</v>
      </c>
      <c r="L20" s="43">
        <v>-8.1887999999999996E-3</v>
      </c>
      <c r="M20" s="44">
        <f t="shared" si="0"/>
        <v>-3.8036976000000002E-3</v>
      </c>
      <c r="N20" s="45" t="str">
        <f t="shared" si="1"/>
        <v>ExHealthElecHt</v>
      </c>
      <c r="O20" s="45" t="str">
        <f t="shared" si="2"/>
        <v>ExHealthHtPmpHt</v>
      </c>
      <c r="P20" s="45" t="str">
        <f t="shared" si="3"/>
        <v>ExHealthGasHt</v>
      </c>
      <c r="Q20" s="41" t="str">
        <f t="shared" si="4"/>
        <v>ExHealth</v>
      </c>
      <c r="R20" s="33">
        <v>12</v>
      </c>
    </row>
    <row r="21" spans="1:18">
      <c r="A21" s="31">
        <v>17</v>
      </c>
      <c r="B21" s="3" t="s">
        <v>177</v>
      </c>
      <c r="C21" s="3" t="s">
        <v>178</v>
      </c>
      <c r="D21" s="52" t="s">
        <v>179</v>
      </c>
      <c r="E21" s="4"/>
      <c r="F21" s="41" t="s">
        <v>181</v>
      </c>
      <c r="G21" s="42">
        <v>0.86680489300284569</v>
      </c>
      <c r="H21" s="42">
        <v>1.02</v>
      </c>
      <c r="I21" s="42">
        <v>1.0300048930028456</v>
      </c>
      <c r="J21" s="42">
        <v>1</v>
      </c>
      <c r="K21" s="33">
        <v>4000</v>
      </c>
      <c r="L21" s="43">
        <v>-8.1887999999999996E-3</v>
      </c>
      <c r="M21" s="44">
        <f t="shared" si="0"/>
        <v>-3.8036976000000002E-3</v>
      </c>
      <c r="N21" s="41" t="s">
        <v>182</v>
      </c>
      <c r="O21" s="41" t="s">
        <v>182</v>
      </c>
      <c r="P21" s="41" t="s">
        <v>182</v>
      </c>
      <c r="Q21" s="41" t="str">
        <f t="shared" si="4"/>
        <v>ExCommLight</v>
      </c>
      <c r="R21" s="33">
        <v>12</v>
      </c>
    </row>
    <row r="22" spans="1:18">
      <c r="A22" s="31">
        <v>18</v>
      </c>
      <c r="C22" s="3" t="s">
        <v>180</v>
      </c>
      <c r="D22" s="52" t="s">
        <v>181</v>
      </c>
      <c r="E22" s="4"/>
      <c r="F22" s="41" t="s">
        <v>183</v>
      </c>
      <c r="G22" s="42">
        <v>0.61</v>
      </c>
      <c r="H22" s="42">
        <v>0.80500000000000005</v>
      </c>
      <c r="I22" s="42">
        <v>0.96360000000000012</v>
      </c>
      <c r="J22" s="42">
        <v>1</v>
      </c>
      <c r="K22" s="33">
        <v>2250</v>
      </c>
      <c r="L22" s="43">
        <v>-1.7742399999999998E-2</v>
      </c>
      <c r="M22" s="44">
        <f t="shared" si="0"/>
        <v>-8.2413447999999997E-3</v>
      </c>
      <c r="N22" s="41" t="s">
        <v>184</v>
      </c>
      <c r="O22" s="41" t="s">
        <v>184</v>
      </c>
      <c r="P22" s="41" t="s">
        <v>184</v>
      </c>
      <c r="Q22" s="41" t="s">
        <v>184</v>
      </c>
      <c r="R22" s="33">
        <v>12</v>
      </c>
    </row>
    <row r="23" spans="1:18">
      <c r="A23" s="31">
        <v>19</v>
      </c>
      <c r="C23" s="3" t="s">
        <v>180</v>
      </c>
      <c r="D23" s="53" t="s">
        <v>183</v>
      </c>
      <c r="F23" s="41" t="s">
        <v>185</v>
      </c>
      <c r="G23" s="42">
        <v>0.61</v>
      </c>
      <c r="H23" s="42">
        <v>0.80500000000000005</v>
      </c>
      <c r="I23" s="42">
        <v>0.96360000000000012</v>
      </c>
      <c r="J23" s="42">
        <v>1</v>
      </c>
      <c r="K23" s="33">
        <v>8400</v>
      </c>
      <c r="L23" s="43">
        <v>-1.7742399999999998E-2</v>
      </c>
      <c r="M23" s="44">
        <f t="shared" si="0"/>
        <v>-8.2413447999999997E-3</v>
      </c>
      <c r="N23" s="41" t="s">
        <v>186</v>
      </c>
      <c r="O23" s="41" t="s">
        <v>186</v>
      </c>
      <c r="P23" s="41" t="s">
        <v>186</v>
      </c>
      <c r="Q23" s="41" t="s">
        <v>186</v>
      </c>
      <c r="R23" s="33">
        <v>12</v>
      </c>
    </row>
    <row r="24" spans="1:18">
      <c r="A24" s="31">
        <v>20</v>
      </c>
      <c r="C24" s="3" t="s">
        <v>180</v>
      </c>
      <c r="D24" s="53" t="s">
        <v>185</v>
      </c>
      <c r="F24" s="41" t="s">
        <v>188</v>
      </c>
      <c r="G24" s="42">
        <v>0.61</v>
      </c>
      <c r="H24" s="42">
        <v>0.80500000000000005</v>
      </c>
      <c r="I24" s="42">
        <v>0.96360000000000012</v>
      </c>
      <c r="J24" s="42">
        <v>1</v>
      </c>
      <c r="K24" s="33">
        <v>4500</v>
      </c>
      <c r="L24" s="43">
        <v>-1.7742399999999998E-2</v>
      </c>
      <c r="M24" s="44">
        <f t="shared" si="0"/>
        <v>-8.2413447999999997E-3</v>
      </c>
      <c r="N24" s="41" t="s">
        <v>189</v>
      </c>
      <c r="O24" s="41" t="s">
        <v>189</v>
      </c>
      <c r="P24" s="41" t="s">
        <v>189</v>
      </c>
      <c r="Q24" s="41" t="s">
        <v>189</v>
      </c>
      <c r="R24" s="33">
        <v>12</v>
      </c>
    </row>
    <row r="25" spans="1:18">
      <c r="A25" s="31">
        <v>21</v>
      </c>
      <c r="C25" s="3" t="s">
        <v>187</v>
      </c>
      <c r="D25" s="53" t="s">
        <v>188</v>
      </c>
      <c r="F25" s="41" t="s">
        <v>191</v>
      </c>
      <c r="G25" s="42">
        <v>1</v>
      </c>
      <c r="H25" s="42">
        <v>1</v>
      </c>
      <c r="I25" s="42">
        <v>1</v>
      </c>
      <c r="J25" s="42">
        <v>1</v>
      </c>
      <c r="K25" s="46">
        <v>8760</v>
      </c>
      <c r="L25" s="47">
        <v>0</v>
      </c>
      <c r="M25" s="48">
        <f t="shared" si="0"/>
        <v>0</v>
      </c>
      <c r="N25" s="41" t="str">
        <f t="shared" ref="N25:Q26" si="5">$C25</f>
        <v>Flat</v>
      </c>
      <c r="O25" s="41" t="str">
        <f t="shared" si="5"/>
        <v>Flat</v>
      </c>
      <c r="P25" s="41" t="str">
        <f t="shared" si="5"/>
        <v>Flat</v>
      </c>
      <c r="Q25" s="41" t="str">
        <f t="shared" si="5"/>
        <v>Flat</v>
      </c>
      <c r="R25" s="33">
        <v>12</v>
      </c>
    </row>
    <row r="26" spans="1:18">
      <c r="A26" s="31">
        <v>22</v>
      </c>
      <c r="C26" s="3" t="s">
        <v>190</v>
      </c>
      <c r="D26" s="53" t="s">
        <v>191</v>
      </c>
      <c r="F26" s="41" t="s">
        <v>192</v>
      </c>
      <c r="G26" s="42">
        <v>1</v>
      </c>
      <c r="H26" s="42">
        <v>1</v>
      </c>
      <c r="I26" s="42">
        <v>1</v>
      </c>
      <c r="J26" s="42">
        <v>1</v>
      </c>
      <c r="K26" s="46">
        <v>5400</v>
      </c>
      <c r="L26" s="47">
        <v>0</v>
      </c>
      <c r="M26" s="48">
        <f t="shared" si="0"/>
        <v>0</v>
      </c>
      <c r="N26" s="41" t="str">
        <f t="shared" si="5"/>
        <v>StreetLight</v>
      </c>
      <c r="O26" s="41" t="str">
        <f t="shared" si="5"/>
        <v>StreetLight</v>
      </c>
      <c r="P26" s="41" t="str">
        <f t="shared" si="5"/>
        <v>StreetLight</v>
      </c>
      <c r="Q26" s="41" t="str">
        <f t="shared" si="5"/>
        <v>StreetLight</v>
      </c>
      <c r="R26" s="33">
        <v>12</v>
      </c>
    </row>
    <row r="27" spans="1:18">
      <c r="A27" s="31">
        <v>23</v>
      </c>
      <c r="D27" s="53" t="s">
        <v>192</v>
      </c>
    </row>
    <row r="28" spans="1:18" ht="15">
      <c r="A28" s="31">
        <v>24</v>
      </c>
      <c r="D28" s="54"/>
    </row>
    <row r="29" spans="1:18" ht="15">
      <c r="A29" s="31">
        <v>25</v>
      </c>
      <c r="D29" s="54"/>
    </row>
    <row r="30" spans="1:18" ht="15">
      <c r="A30" s="31">
        <v>26</v>
      </c>
      <c r="D30" s="54"/>
    </row>
    <row r="31" spans="1:18" ht="15">
      <c r="A31" s="31">
        <v>27</v>
      </c>
      <c r="D31" s="54"/>
    </row>
    <row r="32" spans="1:18">
      <c r="A32" s="31">
        <v>28</v>
      </c>
      <c r="D32" s="53"/>
    </row>
    <row r="33" spans="1:4">
      <c r="A33" s="31">
        <v>29</v>
      </c>
      <c r="D33" s="53"/>
    </row>
    <row r="34" spans="1:4">
      <c r="A34" s="31">
        <v>30</v>
      </c>
      <c r="D34" s="51"/>
    </row>
    <row r="35" spans="1:4">
      <c r="D35" s="51"/>
    </row>
  </sheetData>
  <pageMargins left="0.75" right="0.75" top="1" bottom="1" header="0.5" footer="0.5"/>
  <pageSetup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sheetPr codeName="Sheet13"/>
  <dimension ref="A1:P2"/>
  <sheetViews>
    <sheetView workbookViewId="0">
      <selection activeCell="A2" sqref="A2:IV2"/>
    </sheetView>
  </sheetViews>
  <sheetFormatPr defaultRowHeight="15.75"/>
  <cols>
    <col min="6" max="6" width="9.875" style="73" customWidth="1"/>
    <col min="7" max="9" width="9.5" style="73" customWidth="1"/>
    <col min="14" max="14" width="21.25" customWidth="1"/>
  </cols>
  <sheetData>
    <row r="1" spans="1:16" s="71" customFormat="1">
      <c r="A1" s="71" t="s">
        <v>317</v>
      </c>
      <c r="B1" s="71" t="s">
        <v>318</v>
      </c>
      <c r="C1" s="71" t="s">
        <v>319</v>
      </c>
      <c r="D1" s="71" t="s">
        <v>320</v>
      </c>
      <c r="E1" s="71" t="s">
        <v>321</v>
      </c>
      <c r="F1" s="72" t="s">
        <v>322</v>
      </c>
      <c r="G1" s="72" t="s">
        <v>323</v>
      </c>
      <c r="H1" s="72" t="s">
        <v>324</v>
      </c>
      <c r="I1" s="72" t="s">
        <v>325</v>
      </c>
      <c r="J1" s="71" t="s">
        <v>326</v>
      </c>
      <c r="K1" s="71" t="s">
        <v>327</v>
      </c>
      <c r="L1" s="71" t="s">
        <v>328</v>
      </c>
      <c r="M1" s="71" t="s">
        <v>329</v>
      </c>
      <c r="N1" s="71" t="s">
        <v>330</v>
      </c>
      <c r="O1" s="71" t="s">
        <v>331</v>
      </c>
      <c r="P1" s="71" t="s">
        <v>332</v>
      </c>
    </row>
    <row r="2" spans="1:16" s="2" customFormat="1" hidden="1">
      <c r="A2" s="2" t="e">
        <f>#REF!</f>
        <v>#REF!</v>
      </c>
      <c r="B2" s="2" t="e">
        <f>#REF!</f>
        <v>#REF!</v>
      </c>
      <c r="C2" s="2" t="e">
        <f>#REF!</f>
        <v>#REF!</v>
      </c>
      <c r="D2" s="2" t="e">
        <f>#REF!</f>
        <v>#REF!</v>
      </c>
      <c r="E2" s="74" t="e">
        <f>#REF!</f>
        <v>#REF!</v>
      </c>
      <c r="F2" s="75" t="e">
        <f>#REF!</f>
        <v>#REF!</v>
      </c>
      <c r="G2" s="76" t="e">
        <f>#REF!</f>
        <v>#REF!</v>
      </c>
      <c r="H2" s="76" t="e">
        <f>#REF!</f>
        <v>#REF!</v>
      </c>
      <c r="I2" s="76" t="e">
        <f>#REF!</f>
        <v>#REF!</v>
      </c>
      <c r="J2" s="2" t="e">
        <f>#REF!</f>
        <v>#REF!</v>
      </c>
      <c r="K2" s="2" t="e">
        <f>#REF!</f>
        <v>#REF!</v>
      </c>
      <c r="L2" s="2" t="e">
        <f>#REF!</f>
        <v>#REF!</v>
      </c>
      <c r="M2" s="2" t="e">
        <f>#REF!</f>
        <v>#REF!</v>
      </c>
      <c r="N2" s="2" t="e">
        <f>#REF!</f>
        <v>#REF!</v>
      </c>
      <c r="O2" s="2" t="e">
        <f>#REF!</f>
        <v>#REF!</v>
      </c>
      <c r="P2" s="2" t="e">
        <f>#REF!</f>
        <v>#REF!</v>
      </c>
    </row>
  </sheetData>
  <sheetProtection password="C4BA" sheet="1" objects="1" scenarios="1"/>
  <pageMargins left="0.75" right="0.75" top="1" bottom="1" header="0.5" footer="0.5"/>
  <pageSetup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sheetPr codeName="Sheet14"/>
  <dimension ref="E1:BW105"/>
  <sheetViews>
    <sheetView topLeftCell="E1" workbookViewId="0">
      <pane ySplit="1" topLeftCell="A2" activePane="bottomLeft" state="frozen"/>
      <selection pane="bottomLeft" activeCell="E8" sqref="E8"/>
    </sheetView>
  </sheetViews>
  <sheetFormatPr defaultRowHeight="15.75"/>
  <cols>
    <col min="1" max="16384" width="9" style="91"/>
  </cols>
  <sheetData>
    <row r="1" spans="5:75" ht="79.5">
      <c r="E1" s="136" t="s">
        <v>345</v>
      </c>
      <c r="F1" s="136" t="s">
        <v>346</v>
      </c>
      <c r="G1" s="136" t="s">
        <v>347</v>
      </c>
      <c r="H1" s="136" t="s">
        <v>348</v>
      </c>
      <c r="I1" s="136" t="s">
        <v>349</v>
      </c>
      <c r="J1" s="136" t="s">
        <v>350</v>
      </c>
      <c r="K1" s="136" t="s">
        <v>351</v>
      </c>
      <c r="L1" s="136" t="s">
        <v>352</v>
      </c>
      <c r="M1" s="137" t="s">
        <v>353</v>
      </c>
      <c r="N1" s="138" t="s">
        <v>354</v>
      </c>
      <c r="O1" s="136" t="s">
        <v>355</v>
      </c>
      <c r="P1" s="136" t="s">
        <v>356</v>
      </c>
      <c r="Q1" s="136" t="s">
        <v>357</v>
      </c>
      <c r="R1" s="136" t="s">
        <v>358</v>
      </c>
      <c r="S1" s="136" t="s">
        <v>359</v>
      </c>
      <c r="T1" s="136" t="s">
        <v>360</v>
      </c>
      <c r="U1" s="136" t="s">
        <v>361</v>
      </c>
      <c r="V1" s="136" t="s">
        <v>362</v>
      </c>
      <c r="W1" s="136" t="s">
        <v>363</v>
      </c>
      <c r="X1" s="136" t="s">
        <v>364</v>
      </c>
      <c r="Y1" s="136" t="s">
        <v>365</v>
      </c>
      <c r="Z1" s="136" t="s">
        <v>366</v>
      </c>
      <c r="AA1" s="136" t="s">
        <v>367</v>
      </c>
      <c r="AB1" s="136" t="s">
        <v>368</v>
      </c>
      <c r="AC1" s="136" t="s">
        <v>369</v>
      </c>
      <c r="AD1" s="136" t="s">
        <v>370</v>
      </c>
      <c r="AE1" s="136" t="s">
        <v>371</v>
      </c>
      <c r="AF1" s="136" t="s">
        <v>372</v>
      </c>
      <c r="AG1" s="136" t="s">
        <v>373</v>
      </c>
      <c r="AH1" s="136" t="s">
        <v>374</v>
      </c>
      <c r="AI1" s="136" t="s">
        <v>375</v>
      </c>
      <c r="AJ1" s="136" t="s">
        <v>376</v>
      </c>
      <c r="AK1" s="136" t="s">
        <v>377</v>
      </c>
      <c r="AL1" s="136" t="s">
        <v>378</v>
      </c>
      <c r="AM1" s="136" t="s">
        <v>379</v>
      </c>
      <c r="AN1" s="136" t="s">
        <v>380</v>
      </c>
      <c r="AO1" s="136" t="s">
        <v>381</v>
      </c>
      <c r="AP1" s="136" t="s">
        <v>382</v>
      </c>
      <c r="AQ1" s="136" t="s">
        <v>383</v>
      </c>
      <c r="AR1" s="136" t="s">
        <v>384</v>
      </c>
      <c r="AS1" s="136" t="s">
        <v>385</v>
      </c>
      <c r="AT1" s="139" t="s">
        <v>386</v>
      </c>
      <c r="AU1" s="139" t="s">
        <v>387</v>
      </c>
      <c r="AV1" s="136" t="s">
        <v>388</v>
      </c>
      <c r="AW1" s="140" t="s">
        <v>389</v>
      </c>
      <c r="AX1" s="139" t="s">
        <v>390</v>
      </c>
      <c r="AY1" s="139" t="s">
        <v>391</v>
      </c>
      <c r="AZ1" s="139" t="s">
        <v>392</v>
      </c>
      <c r="BA1" s="139" t="s">
        <v>393</v>
      </c>
      <c r="BB1" s="139" t="s">
        <v>394</v>
      </c>
      <c r="BC1" s="141" t="s">
        <v>395</v>
      </c>
      <c r="BD1" s="141" t="s">
        <v>396</v>
      </c>
      <c r="BE1" s="141" t="s">
        <v>397</v>
      </c>
      <c r="BF1" s="141" t="s">
        <v>398</v>
      </c>
      <c r="BG1" s="141" t="s">
        <v>399</v>
      </c>
      <c r="BH1" s="141" t="s">
        <v>400</v>
      </c>
      <c r="BI1" s="141" t="s">
        <v>401</v>
      </c>
      <c r="BJ1" s="141" t="s">
        <v>402</v>
      </c>
      <c r="BK1" s="141" t="s">
        <v>403</v>
      </c>
      <c r="BL1" s="141" t="s">
        <v>404</v>
      </c>
      <c r="BM1" s="141" t="s">
        <v>405</v>
      </c>
      <c r="BN1" s="141" t="s">
        <v>406</v>
      </c>
      <c r="BO1" s="141" t="s">
        <v>407</v>
      </c>
      <c r="BP1" s="141" t="s">
        <v>408</v>
      </c>
      <c r="BQ1" s="141" t="s">
        <v>409</v>
      </c>
      <c r="BR1" s="141" t="s">
        <v>410</v>
      </c>
      <c r="BS1" s="141" t="s">
        <v>411</v>
      </c>
      <c r="BT1" s="141" t="s">
        <v>412</v>
      </c>
      <c r="BU1" s="141" t="s">
        <v>413</v>
      </c>
      <c r="BV1" s="141" t="s">
        <v>414</v>
      </c>
      <c r="BW1" s="141" t="s">
        <v>415</v>
      </c>
    </row>
    <row r="2" spans="5:75">
      <c r="E2" s="154"/>
      <c r="F2" s="154"/>
      <c r="G2" s="154"/>
      <c r="H2" s="154"/>
      <c r="I2" s="154"/>
      <c r="J2" s="154"/>
      <c r="K2" s="154"/>
      <c r="L2" s="154"/>
      <c r="M2" s="155"/>
      <c r="N2" s="156"/>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7"/>
      <c r="AU2" s="157"/>
      <c r="AV2" s="154"/>
      <c r="AW2" s="158"/>
      <c r="AX2" s="157"/>
      <c r="AY2" s="157"/>
      <c r="AZ2" s="157"/>
      <c r="BA2" s="157"/>
      <c r="BB2" s="157"/>
      <c r="BC2" s="159"/>
      <c r="BD2" s="159"/>
      <c r="BE2" s="159"/>
      <c r="BF2" s="159"/>
      <c r="BG2" s="159"/>
      <c r="BH2" s="159"/>
      <c r="BI2" s="159"/>
      <c r="BJ2" s="159"/>
      <c r="BK2" s="159"/>
      <c r="BL2" s="159"/>
      <c r="BM2" s="159"/>
      <c r="BN2" s="159"/>
      <c r="BO2" s="159"/>
      <c r="BP2" s="159"/>
      <c r="BQ2" s="159"/>
      <c r="BR2" s="159"/>
      <c r="BS2" s="159"/>
      <c r="BT2" s="159"/>
      <c r="BU2" s="159"/>
      <c r="BV2" s="159"/>
      <c r="BW2" s="159"/>
    </row>
    <row r="3" spans="5:75">
      <c r="E3" s="143" t="s">
        <v>344</v>
      </c>
      <c r="F3" s="143" t="s">
        <v>423</v>
      </c>
      <c r="G3" s="143" t="s">
        <v>424</v>
      </c>
      <c r="H3" s="143" t="s">
        <v>425</v>
      </c>
      <c r="I3" s="144" t="s">
        <v>426</v>
      </c>
      <c r="J3" s="144"/>
      <c r="K3" s="144"/>
      <c r="L3" s="161"/>
      <c r="M3" s="145">
        <v>159</v>
      </c>
      <c r="N3" s="146">
        <v>30</v>
      </c>
      <c r="O3" s="142" t="s">
        <v>427</v>
      </c>
      <c r="P3" s="143" t="s">
        <v>37</v>
      </c>
      <c r="Q3" s="143" t="s">
        <v>428</v>
      </c>
      <c r="R3" s="147">
        <v>145</v>
      </c>
      <c r="S3" s="146">
        <v>138.33000000000001</v>
      </c>
      <c r="T3" s="148">
        <v>40452</v>
      </c>
      <c r="U3" s="149"/>
      <c r="V3" s="150">
        <v>12</v>
      </c>
      <c r="W3" s="143" t="s">
        <v>429</v>
      </c>
      <c r="X3" s="143"/>
      <c r="Y3" s="143"/>
      <c r="Z3" s="143"/>
      <c r="AA3" s="143"/>
      <c r="AB3" s="143"/>
      <c r="AC3" s="143"/>
      <c r="AD3" s="143" t="s">
        <v>426</v>
      </c>
      <c r="AE3" s="143"/>
      <c r="AF3" s="143" t="s">
        <v>416</v>
      </c>
      <c r="AG3" s="143"/>
      <c r="AH3" s="143"/>
      <c r="AI3" s="143"/>
      <c r="AJ3" s="143"/>
      <c r="AK3" s="143"/>
      <c r="AL3" s="143"/>
      <c r="AM3" s="143"/>
      <c r="AN3" s="143"/>
      <c r="AO3" s="143"/>
      <c r="AP3" s="143"/>
      <c r="AQ3" s="143" t="s">
        <v>430</v>
      </c>
      <c r="AR3" s="143" t="s">
        <v>39</v>
      </c>
      <c r="AS3" s="143" t="s">
        <v>431</v>
      </c>
      <c r="AT3" s="143" t="s">
        <v>432</v>
      </c>
      <c r="AU3" s="143" t="s">
        <v>433</v>
      </c>
      <c r="AV3" s="143" t="s">
        <v>421</v>
      </c>
      <c r="AW3" s="148"/>
      <c r="AX3" s="148"/>
      <c r="AY3" s="143"/>
      <c r="AZ3" s="143"/>
      <c r="BA3" s="143"/>
      <c r="BB3" s="143" t="s">
        <v>422</v>
      </c>
      <c r="BC3" s="142">
        <v>0</v>
      </c>
      <c r="BD3" s="142">
        <v>0</v>
      </c>
      <c r="BE3" s="142">
        <v>0</v>
      </c>
      <c r="BF3" s="142">
        <v>0</v>
      </c>
      <c r="BG3" s="142">
        <v>0.3</v>
      </c>
      <c r="BH3" s="142">
        <v>0.06</v>
      </c>
      <c r="BI3" s="142">
        <v>0.40500000000000003</v>
      </c>
      <c r="BJ3" s="142">
        <v>0</v>
      </c>
      <c r="BK3" s="142">
        <v>0.89200000000000002</v>
      </c>
      <c r="BL3" s="142">
        <v>0</v>
      </c>
      <c r="BM3" s="142">
        <v>0</v>
      </c>
      <c r="BN3" s="142">
        <v>0.1</v>
      </c>
      <c r="BO3" s="142">
        <v>0</v>
      </c>
      <c r="BP3" s="142">
        <v>0</v>
      </c>
      <c r="BQ3" s="142">
        <v>1.097</v>
      </c>
      <c r="BR3" s="142">
        <v>1.0669999999999999</v>
      </c>
      <c r="BS3" s="142">
        <v>0.03</v>
      </c>
      <c r="BT3" s="142">
        <v>1</v>
      </c>
      <c r="BU3" s="142">
        <v>42.3</v>
      </c>
      <c r="BV3" s="142">
        <v>0.1</v>
      </c>
      <c r="BW3" s="143" t="s">
        <v>419</v>
      </c>
    </row>
    <row r="4" spans="5:75">
      <c r="E4" s="143" t="s">
        <v>344</v>
      </c>
      <c r="F4" s="143" t="s">
        <v>423</v>
      </c>
      <c r="G4" s="143" t="s">
        <v>424</v>
      </c>
      <c r="H4" s="143" t="s">
        <v>425</v>
      </c>
      <c r="I4" s="144" t="s">
        <v>434</v>
      </c>
      <c r="J4" s="144"/>
      <c r="K4" s="144"/>
      <c r="L4" s="161"/>
      <c r="M4" s="145">
        <v>210</v>
      </c>
      <c r="N4" s="146">
        <v>40</v>
      </c>
      <c r="O4" s="142" t="s">
        <v>435</v>
      </c>
      <c r="P4" s="143" t="s">
        <v>37</v>
      </c>
      <c r="Q4" s="143" t="s">
        <v>428</v>
      </c>
      <c r="R4" s="147">
        <v>306</v>
      </c>
      <c r="S4" s="146">
        <v>154.33000000000001</v>
      </c>
      <c r="T4" s="148">
        <v>40452</v>
      </c>
      <c r="U4" s="149"/>
      <c r="V4" s="150">
        <v>12</v>
      </c>
      <c r="W4" s="143" t="s">
        <v>429</v>
      </c>
      <c r="X4" s="143"/>
      <c r="Y4" s="143"/>
      <c r="Z4" s="143"/>
      <c r="AA4" s="143"/>
      <c r="AB4" s="143"/>
      <c r="AC4" s="143"/>
      <c r="AD4" s="143" t="s">
        <v>434</v>
      </c>
      <c r="AE4" s="143"/>
      <c r="AF4" s="143" t="s">
        <v>416</v>
      </c>
      <c r="AG4" s="143"/>
      <c r="AH4" s="143"/>
      <c r="AI4" s="143"/>
      <c r="AJ4" s="143"/>
      <c r="AK4" s="143"/>
      <c r="AL4" s="143"/>
      <c r="AM4" s="143"/>
      <c r="AN4" s="143"/>
      <c r="AO4" s="143"/>
      <c r="AP4" s="143"/>
      <c r="AQ4" s="143" t="s">
        <v>430</v>
      </c>
      <c r="AR4" s="143" t="s">
        <v>39</v>
      </c>
      <c r="AS4" s="143" t="s">
        <v>431</v>
      </c>
      <c r="AT4" s="143" t="s">
        <v>432</v>
      </c>
      <c r="AU4" s="143" t="s">
        <v>433</v>
      </c>
      <c r="AV4" s="143" t="s">
        <v>421</v>
      </c>
      <c r="AW4" s="148"/>
      <c r="AX4" s="148"/>
      <c r="AY4" s="143"/>
      <c r="AZ4" s="143"/>
      <c r="BA4" s="143"/>
      <c r="BB4" s="143" t="s">
        <v>422</v>
      </c>
      <c r="BC4" s="142">
        <v>0</v>
      </c>
      <c r="BD4" s="142">
        <v>0</v>
      </c>
      <c r="BE4" s="142">
        <v>0</v>
      </c>
      <c r="BF4" s="142">
        <v>0</v>
      </c>
      <c r="BG4" s="142">
        <v>0.3</v>
      </c>
      <c r="BH4" s="142">
        <v>0.08</v>
      </c>
      <c r="BI4" s="142">
        <v>0.40500000000000003</v>
      </c>
      <c r="BJ4" s="142">
        <v>0</v>
      </c>
      <c r="BK4" s="142">
        <v>0.752</v>
      </c>
      <c r="BL4" s="142">
        <v>0</v>
      </c>
      <c r="BM4" s="142">
        <v>0</v>
      </c>
      <c r="BN4" s="142">
        <v>0.1</v>
      </c>
      <c r="BO4" s="142">
        <v>0</v>
      </c>
      <c r="BP4" s="142">
        <v>0</v>
      </c>
      <c r="BQ4" s="142">
        <v>1.097</v>
      </c>
      <c r="BR4" s="142">
        <v>0.89900000000000002</v>
      </c>
      <c r="BS4" s="142">
        <v>0.19800000000000001</v>
      </c>
      <c r="BT4" s="142">
        <v>1.2</v>
      </c>
      <c r="BU4" s="142">
        <v>23.5</v>
      </c>
      <c r="BV4" s="142">
        <v>0.1</v>
      </c>
      <c r="BW4" s="143" t="s">
        <v>419</v>
      </c>
    </row>
    <row r="5" spans="5:75">
      <c r="E5" s="143" t="s">
        <v>344</v>
      </c>
      <c r="F5" s="143" t="s">
        <v>423</v>
      </c>
      <c r="G5" s="143" t="s">
        <v>424</v>
      </c>
      <c r="H5" s="143" t="s">
        <v>425</v>
      </c>
      <c r="I5" s="144" t="s">
        <v>436</v>
      </c>
      <c r="J5" s="144"/>
      <c r="K5" s="144"/>
      <c r="L5" s="161"/>
      <c r="M5" s="145">
        <v>258</v>
      </c>
      <c r="N5" s="146">
        <v>50</v>
      </c>
      <c r="O5" s="142" t="s">
        <v>437</v>
      </c>
      <c r="P5" s="143" t="s">
        <v>37</v>
      </c>
      <c r="Q5" s="143" t="s">
        <v>428</v>
      </c>
      <c r="R5" s="147">
        <v>701</v>
      </c>
      <c r="S5" s="146">
        <v>176.33</v>
      </c>
      <c r="T5" s="148">
        <v>40452</v>
      </c>
      <c r="U5" s="149"/>
      <c r="V5" s="150">
        <v>11</v>
      </c>
      <c r="W5" s="143" t="s">
        <v>429</v>
      </c>
      <c r="X5" s="143"/>
      <c r="Y5" s="143"/>
      <c r="Z5" s="143"/>
      <c r="AA5" s="143"/>
      <c r="AB5" s="143"/>
      <c r="AC5" s="143"/>
      <c r="AD5" s="143" t="s">
        <v>436</v>
      </c>
      <c r="AE5" s="143"/>
      <c r="AF5" s="143" t="s">
        <v>416</v>
      </c>
      <c r="AG5" s="143"/>
      <c r="AH5" s="143"/>
      <c r="AI5" s="143"/>
      <c r="AJ5" s="143"/>
      <c r="AK5" s="143"/>
      <c r="AL5" s="143"/>
      <c r="AM5" s="143"/>
      <c r="AN5" s="143"/>
      <c r="AO5" s="143"/>
      <c r="AP5" s="143"/>
      <c r="AQ5" s="143" t="s">
        <v>430</v>
      </c>
      <c r="AR5" s="143" t="s">
        <v>39</v>
      </c>
      <c r="AS5" s="143" t="s">
        <v>431</v>
      </c>
      <c r="AT5" s="143" t="s">
        <v>432</v>
      </c>
      <c r="AU5" s="143" t="s">
        <v>433</v>
      </c>
      <c r="AV5" s="143" t="s">
        <v>421</v>
      </c>
      <c r="AW5" s="148"/>
      <c r="AX5" s="148"/>
      <c r="AY5" s="143"/>
      <c r="AZ5" s="143"/>
      <c r="BA5" s="143"/>
      <c r="BB5" s="143" t="s">
        <v>422</v>
      </c>
      <c r="BC5" s="142">
        <v>0</v>
      </c>
      <c r="BD5" s="142">
        <v>0</v>
      </c>
      <c r="BE5" s="142">
        <v>0</v>
      </c>
      <c r="BF5" s="142">
        <v>0</v>
      </c>
      <c r="BG5" s="142">
        <v>0.3</v>
      </c>
      <c r="BH5" s="142">
        <v>9.8000000000000004E-2</v>
      </c>
      <c r="BI5" s="142">
        <v>0.40500000000000003</v>
      </c>
      <c r="BJ5" s="142">
        <v>0</v>
      </c>
      <c r="BK5" s="142">
        <v>0.748</v>
      </c>
      <c r="BL5" s="142">
        <v>0</v>
      </c>
      <c r="BM5" s="142">
        <v>0</v>
      </c>
      <c r="BN5" s="142">
        <v>0.1</v>
      </c>
      <c r="BO5" s="142">
        <v>0</v>
      </c>
      <c r="BP5" s="142">
        <v>0</v>
      </c>
      <c r="BQ5" s="142">
        <v>1.097</v>
      </c>
      <c r="BR5" s="142">
        <v>0.88500000000000001</v>
      </c>
      <c r="BS5" s="142">
        <v>0.21199999999999999</v>
      </c>
      <c r="BT5" s="142">
        <v>1.2</v>
      </c>
      <c r="BU5" s="142">
        <v>21.8</v>
      </c>
      <c r="BV5" s="142">
        <v>0.1</v>
      </c>
      <c r="BW5" s="143" t="s">
        <v>419</v>
      </c>
    </row>
    <row r="6" spans="5:75">
      <c r="E6" s="143" t="s">
        <v>344</v>
      </c>
      <c r="F6" s="143" t="s">
        <v>423</v>
      </c>
      <c r="G6" s="143" t="s">
        <v>424</v>
      </c>
      <c r="H6" s="143" t="s">
        <v>425</v>
      </c>
      <c r="I6" s="144" t="s">
        <v>438</v>
      </c>
      <c r="J6" s="144"/>
      <c r="K6" s="144"/>
      <c r="L6" s="161"/>
      <c r="M6" s="145">
        <v>278</v>
      </c>
      <c r="N6" s="146">
        <v>60</v>
      </c>
      <c r="O6" s="142" t="s">
        <v>439</v>
      </c>
      <c r="P6" s="143" t="s">
        <v>37</v>
      </c>
      <c r="Q6" s="143" t="s">
        <v>428</v>
      </c>
      <c r="R6" s="147">
        <v>1909</v>
      </c>
      <c r="S6" s="146">
        <v>193.67</v>
      </c>
      <c r="T6" s="148">
        <v>40452</v>
      </c>
      <c r="U6" s="149"/>
      <c r="V6" s="150">
        <v>11</v>
      </c>
      <c r="W6" s="143" t="s">
        <v>429</v>
      </c>
      <c r="X6" s="143"/>
      <c r="Y6" s="143"/>
      <c r="Z6" s="143"/>
      <c r="AA6" s="143"/>
      <c r="AB6" s="143"/>
      <c r="AC6" s="143"/>
      <c r="AD6" s="143" t="s">
        <v>438</v>
      </c>
      <c r="AE6" s="143"/>
      <c r="AF6" s="143" t="s">
        <v>416</v>
      </c>
      <c r="AG6" s="143"/>
      <c r="AH6" s="143"/>
      <c r="AI6" s="143"/>
      <c r="AJ6" s="143"/>
      <c r="AK6" s="143"/>
      <c r="AL6" s="143"/>
      <c r="AM6" s="143"/>
      <c r="AN6" s="143"/>
      <c r="AO6" s="143"/>
      <c r="AP6" s="143"/>
      <c r="AQ6" s="143" t="s">
        <v>430</v>
      </c>
      <c r="AR6" s="143" t="s">
        <v>39</v>
      </c>
      <c r="AS6" s="143" t="s">
        <v>431</v>
      </c>
      <c r="AT6" s="143" t="s">
        <v>432</v>
      </c>
      <c r="AU6" s="143" t="s">
        <v>433</v>
      </c>
      <c r="AV6" s="143" t="s">
        <v>421</v>
      </c>
      <c r="AW6" s="148"/>
      <c r="AX6" s="148"/>
      <c r="AY6" s="143"/>
      <c r="AZ6" s="143"/>
      <c r="BA6" s="143"/>
      <c r="BB6" s="143" t="s">
        <v>422</v>
      </c>
      <c r="BC6" s="142">
        <v>0</v>
      </c>
      <c r="BD6" s="142">
        <v>0</v>
      </c>
      <c r="BE6" s="142">
        <v>0</v>
      </c>
      <c r="BF6" s="142">
        <v>0</v>
      </c>
      <c r="BG6" s="142">
        <v>0.3</v>
      </c>
      <c r="BH6" s="142">
        <v>0.106</v>
      </c>
      <c r="BI6" s="142">
        <v>0.40500000000000003</v>
      </c>
      <c r="BJ6" s="142">
        <v>0</v>
      </c>
      <c r="BK6" s="142">
        <v>0.76500000000000001</v>
      </c>
      <c r="BL6" s="142">
        <v>0</v>
      </c>
      <c r="BM6" s="142">
        <v>0</v>
      </c>
      <c r="BN6" s="142">
        <v>0.1</v>
      </c>
      <c r="BO6" s="142">
        <v>0</v>
      </c>
      <c r="BP6" s="142">
        <v>0</v>
      </c>
      <c r="BQ6" s="142">
        <v>1.097</v>
      </c>
      <c r="BR6" s="142">
        <v>0.90400000000000003</v>
      </c>
      <c r="BS6" s="142">
        <v>0.193</v>
      </c>
      <c r="BT6" s="142">
        <v>1.2</v>
      </c>
      <c r="BU6" s="142">
        <v>24</v>
      </c>
      <c r="BV6" s="142">
        <v>0.1</v>
      </c>
      <c r="BW6" s="143" t="s">
        <v>419</v>
      </c>
    </row>
    <row r="7" spans="5:75">
      <c r="E7" s="143" t="s">
        <v>344</v>
      </c>
      <c r="F7" s="143" t="s">
        <v>423</v>
      </c>
      <c r="G7" s="143" t="s">
        <v>424</v>
      </c>
      <c r="H7" s="143" t="s">
        <v>425</v>
      </c>
      <c r="I7" s="144" t="s">
        <v>440</v>
      </c>
      <c r="J7" s="144"/>
      <c r="K7" s="144"/>
      <c r="L7" s="161"/>
      <c r="M7" s="145">
        <v>325</v>
      </c>
      <c r="N7" s="146">
        <v>80</v>
      </c>
      <c r="O7" s="142" t="s">
        <v>441</v>
      </c>
      <c r="P7" s="143" t="s">
        <v>37</v>
      </c>
      <c r="Q7" s="143" t="s">
        <v>428</v>
      </c>
      <c r="R7" s="147">
        <v>2218</v>
      </c>
      <c r="S7" s="146">
        <v>236.67</v>
      </c>
      <c r="T7" s="148">
        <v>40452</v>
      </c>
      <c r="U7" s="149"/>
      <c r="V7" s="150">
        <v>11</v>
      </c>
      <c r="W7" s="143" t="s">
        <v>429</v>
      </c>
      <c r="X7" s="143"/>
      <c r="Y7" s="143"/>
      <c r="Z7" s="143"/>
      <c r="AA7" s="143"/>
      <c r="AB7" s="143"/>
      <c r="AC7" s="143"/>
      <c r="AD7" s="143" t="s">
        <v>440</v>
      </c>
      <c r="AE7" s="143"/>
      <c r="AF7" s="143" t="s">
        <v>416</v>
      </c>
      <c r="AG7" s="143"/>
      <c r="AH7" s="143"/>
      <c r="AI7" s="143"/>
      <c r="AJ7" s="143"/>
      <c r="AK7" s="143"/>
      <c r="AL7" s="143"/>
      <c r="AM7" s="143"/>
      <c r="AN7" s="143"/>
      <c r="AO7" s="143"/>
      <c r="AP7" s="143"/>
      <c r="AQ7" s="143" t="s">
        <v>430</v>
      </c>
      <c r="AR7" s="143" t="s">
        <v>39</v>
      </c>
      <c r="AS7" s="143" t="s">
        <v>431</v>
      </c>
      <c r="AT7" s="143" t="s">
        <v>432</v>
      </c>
      <c r="AU7" s="143" t="s">
        <v>433</v>
      </c>
      <c r="AV7" s="143" t="s">
        <v>421</v>
      </c>
      <c r="AW7" s="148"/>
      <c r="AX7" s="148"/>
      <c r="AY7" s="143"/>
      <c r="AZ7" s="143"/>
      <c r="BA7" s="143"/>
      <c r="BB7" s="143" t="s">
        <v>422</v>
      </c>
      <c r="BC7" s="142">
        <v>0</v>
      </c>
      <c r="BD7" s="142">
        <v>0</v>
      </c>
      <c r="BE7" s="142">
        <v>0</v>
      </c>
      <c r="BF7" s="142">
        <v>0</v>
      </c>
      <c r="BG7" s="142">
        <v>0.3</v>
      </c>
      <c r="BH7" s="142">
        <v>0.124</v>
      </c>
      <c r="BI7" s="142">
        <v>0.40500000000000003</v>
      </c>
      <c r="BJ7" s="142">
        <v>0</v>
      </c>
      <c r="BK7" s="142">
        <v>0.79900000000000004</v>
      </c>
      <c r="BL7" s="142">
        <v>0</v>
      </c>
      <c r="BM7" s="142">
        <v>0</v>
      </c>
      <c r="BN7" s="142">
        <v>0.1</v>
      </c>
      <c r="BO7" s="142">
        <v>0</v>
      </c>
      <c r="BP7" s="142">
        <v>0</v>
      </c>
      <c r="BQ7" s="142">
        <v>1.097</v>
      </c>
      <c r="BR7" s="142">
        <v>0.94499999999999995</v>
      </c>
      <c r="BS7" s="142">
        <v>0.152</v>
      </c>
      <c r="BT7" s="142">
        <v>1.2</v>
      </c>
      <c r="BU7" s="142">
        <v>28.6</v>
      </c>
      <c r="BV7" s="142">
        <v>0.1</v>
      </c>
      <c r="BW7" s="143" t="s">
        <v>419</v>
      </c>
    </row>
    <row r="8" spans="5:75">
      <c r="E8" s="143" t="s">
        <v>344</v>
      </c>
      <c r="F8" s="143" t="s">
        <v>423</v>
      </c>
      <c r="G8" s="143" t="s">
        <v>424</v>
      </c>
      <c r="H8" s="143" t="s">
        <v>425</v>
      </c>
      <c r="I8" s="144" t="s">
        <v>442</v>
      </c>
      <c r="J8" s="144"/>
      <c r="K8" s="144"/>
      <c r="L8" s="161"/>
      <c r="M8" s="145">
        <v>352</v>
      </c>
      <c r="N8" s="146">
        <v>100</v>
      </c>
      <c r="O8" s="142" t="s">
        <v>443</v>
      </c>
      <c r="P8" s="143" t="s">
        <v>37</v>
      </c>
      <c r="Q8" s="143" t="s">
        <v>428</v>
      </c>
      <c r="R8" s="147">
        <v>103</v>
      </c>
      <c r="S8" s="146">
        <v>262</v>
      </c>
      <c r="T8" s="148">
        <v>40452</v>
      </c>
      <c r="U8" s="149"/>
      <c r="V8" s="150">
        <v>11</v>
      </c>
      <c r="W8" s="143" t="s">
        <v>429</v>
      </c>
      <c r="X8" s="143"/>
      <c r="Y8" s="143"/>
      <c r="Z8" s="143"/>
      <c r="AA8" s="143"/>
      <c r="AB8" s="143"/>
      <c r="AC8" s="143"/>
      <c r="AD8" s="143" t="s">
        <v>442</v>
      </c>
      <c r="AE8" s="143"/>
      <c r="AF8" s="143" t="s">
        <v>416</v>
      </c>
      <c r="AG8" s="143"/>
      <c r="AH8" s="143"/>
      <c r="AI8" s="143"/>
      <c r="AJ8" s="143"/>
      <c r="AK8" s="143"/>
      <c r="AL8" s="143"/>
      <c r="AM8" s="143"/>
      <c r="AN8" s="143"/>
      <c r="AO8" s="143"/>
      <c r="AP8" s="143"/>
      <c r="AQ8" s="143" t="s">
        <v>430</v>
      </c>
      <c r="AR8" s="143" t="s">
        <v>39</v>
      </c>
      <c r="AS8" s="143" t="s">
        <v>431</v>
      </c>
      <c r="AT8" s="143" t="s">
        <v>432</v>
      </c>
      <c r="AU8" s="143" t="s">
        <v>433</v>
      </c>
      <c r="AV8" s="143" t="s">
        <v>421</v>
      </c>
      <c r="AW8" s="148"/>
      <c r="AX8" s="148"/>
      <c r="AY8" s="143"/>
      <c r="AZ8" s="143"/>
      <c r="BA8" s="143"/>
      <c r="BB8" s="143" t="s">
        <v>422</v>
      </c>
      <c r="BC8" s="142">
        <v>0</v>
      </c>
      <c r="BD8" s="142">
        <v>0</v>
      </c>
      <c r="BE8" s="142">
        <v>0</v>
      </c>
      <c r="BF8" s="142">
        <v>0</v>
      </c>
      <c r="BG8" s="142">
        <v>0.3</v>
      </c>
      <c r="BH8" s="142">
        <v>0.13400000000000001</v>
      </c>
      <c r="BI8" s="142">
        <v>0.40500000000000003</v>
      </c>
      <c r="BJ8" s="142">
        <v>0</v>
      </c>
      <c r="BK8" s="142">
        <v>0.81599999999999995</v>
      </c>
      <c r="BL8" s="142">
        <v>0</v>
      </c>
      <c r="BM8" s="142">
        <v>0</v>
      </c>
      <c r="BN8" s="142">
        <v>0.1</v>
      </c>
      <c r="BO8" s="142">
        <v>0</v>
      </c>
      <c r="BP8" s="142">
        <v>0</v>
      </c>
      <c r="BQ8" s="142">
        <v>1.097</v>
      </c>
      <c r="BR8" s="142">
        <v>0.96499999999999997</v>
      </c>
      <c r="BS8" s="142">
        <v>0.13200000000000001</v>
      </c>
      <c r="BT8" s="142">
        <v>1.1000000000000001</v>
      </c>
      <c r="BU8" s="142">
        <v>30.8</v>
      </c>
      <c r="BV8" s="142">
        <v>0.1</v>
      </c>
      <c r="BW8" s="143" t="s">
        <v>419</v>
      </c>
    </row>
    <row r="9" spans="5:75">
      <c r="E9" s="143" t="s">
        <v>344</v>
      </c>
      <c r="F9" s="143" t="s">
        <v>423</v>
      </c>
      <c r="G9" s="143" t="s">
        <v>424</v>
      </c>
      <c r="H9" s="143" t="s">
        <v>425</v>
      </c>
      <c r="I9" s="144" t="s">
        <v>444</v>
      </c>
      <c r="J9" s="144"/>
      <c r="K9" s="144"/>
      <c r="L9" s="161"/>
      <c r="M9" s="145">
        <v>358</v>
      </c>
      <c r="N9" s="146">
        <v>120</v>
      </c>
      <c r="O9" s="142" t="s">
        <v>445</v>
      </c>
      <c r="P9" s="143" t="s">
        <v>37</v>
      </c>
      <c r="Q9" s="143" t="s">
        <v>428</v>
      </c>
      <c r="R9" s="147">
        <v>221</v>
      </c>
      <c r="S9" s="146">
        <v>309</v>
      </c>
      <c r="T9" s="148">
        <v>40452</v>
      </c>
      <c r="U9" s="149"/>
      <c r="V9" s="150">
        <v>9</v>
      </c>
      <c r="W9" s="143" t="s">
        <v>429</v>
      </c>
      <c r="X9" s="143"/>
      <c r="Y9" s="143"/>
      <c r="Z9" s="143"/>
      <c r="AA9" s="143"/>
      <c r="AB9" s="143"/>
      <c r="AC9" s="143"/>
      <c r="AD9" s="143" t="s">
        <v>444</v>
      </c>
      <c r="AE9" s="143"/>
      <c r="AF9" s="143" t="s">
        <v>416</v>
      </c>
      <c r="AG9" s="143"/>
      <c r="AH9" s="143"/>
      <c r="AI9" s="143"/>
      <c r="AJ9" s="143"/>
      <c r="AK9" s="143"/>
      <c r="AL9" s="143"/>
      <c r="AM9" s="143"/>
      <c r="AN9" s="143"/>
      <c r="AO9" s="143"/>
      <c r="AP9" s="143"/>
      <c r="AQ9" s="143" t="s">
        <v>430</v>
      </c>
      <c r="AR9" s="143" t="s">
        <v>39</v>
      </c>
      <c r="AS9" s="143" t="s">
        <v>431</v>
      </c>
      <c r="AT9" s="143" t="s">
        <v>432</v>
      </c>
      <c r="AU9" s="143" t="s">
        <v>433</v>
      </c>
      <c r="AV9" s="143" t="s">
        <v>421</v>
      </c>
      <c r="AW9" s="148"/>
      <c r="AX9" s="148"/>
      <c r="AY9" s="143"/>
      <c r="AZ9" s="143"/>
      <c r="BA9" s="143"/>
      <c r="BB9" s="143" t="s">
        <v>422</v>
      </c>
      <c r="BC9" s="142">
        <v>0</v>
      </c>
      <c r="BD9" s="142">
        <v>0</v>
      </c>
      <c r="BE9" s="142">
        <v>0</v>
      </c>
      <c r="BF9" s="142">
        <v>0</v>
      </c>
      <c r="BG9" s="142">
        <v>0.3</v>
      </c>
      <c r="BH9" s="142">
        <v>0.13600000000000001</v>
      </c>
      <c r="BI9" s="142">
        <v>0.40500000000000003</v>
      </c>
      <c r="BJ9" s="142">
        <v>0</v>
      </c>
      <c r="BK9" s="142">
        <v>1.113</v>
      </c>
      <c r="BL9" s="142">
        <v>0</v>
      </c>
      <c r="BM9" s="142">
        <v>0</v>
      </c>
      <c r="BN9" s="142">
        <v>0.1</v>
      </c>
      <c r="BO9" s="142">
        <v>0</v>
      </c>
      <c r="BP9" s="142">
        <v>0</v>
      </c>
      <c r="BQ9" s="142">
        <v>1.097</v>
      </c>
      <c r="BR9" s="142">
        <v>1.286</v>
      </c>
      <c r="BS9" s="142">
        <v>-0.189</v>
      </c>
      <c r="BT9" s="142">
        <v>0.9</v>
      </c>
      <c r="BU9" s="142">
        <v>67.099999999999994</v>
      </c>
      <c r="BV9" s="142">
        <v>0.1</v>
      </c>
      <c r="BW9" s="152" t="s">
        <v>39</v>
      </c>
    </row>
    <row r="10" spans="5:75">
      <c r="E10" s="143" t="s">
        <v>344</v>
      </c>
      <c r="F10" s="143" t="s">
        <v>423</v>
      </c>
      <c r="G10" s="143" t="s">
        <v>424</v>
      </c>
      <c r="H10" s="143" t="s">
        <v>425</v>
      </c>
      <c r="I10" s="144" t="s">
        <v>446</v>
      </c>
      <c r="J10" s="144"/>
      <c r="K10" s="144"/>
      <c r="L10" s="161"/>
      <c r="M10" s="145">
        <v>372</v>
      </c>
      <c r="N10" s="146">
        <v>150</v>
      </c>
      <c r="O10" s="142" t="s">
        <v>447</v>
      </c>
      <c r="P10" s="143" t="s">
        <v>37</v>
      </c>
      <c r="Q10" s="143" t="s">
        <v>428</v>
      </c>
      <c r="R10" s="147">
        <v>590</v>
      </c>
      <c r="S10" s="146">
        <v>334</v>
      </c>
      <c r="T10" s="148">
        <v>40452</v>
      </c>
      <c r="U10" s="149"/>
      <c r="V10" s="150">
        <v>9</v>
      </c>
      <c r="W10" s="143" t="s">
        <v>429</v>
      </c>
      <c r="X10" s="143"/>
      <c r="Y10" s="143"/>
      <c r="Z10" s="143"/>
      <c r="AA10" s="143"/>
      <c r="AB10" s="143"/>
      <c r="AC10" s="143"/>
      <c r="AD10" s="143" t="s">
        <v>446</v>
      </c>
      <c r="AE10" s="143"/>
      <c r="AF10" s="143" t="s">
        <v>416</v>
      </c>
      <c r="AG10" s="143"/>
      <c r="AH10" s="143"/>
      <c r="AI10" s="143"/>
      <c r="AJ10" s="143"/>
      <c r="AK10" s="143"/>
      <c r="AL10" s="143"/>
      <c r="AM10" s="143"/>
      <c r="AN10" s="143"/>
      <c r="AO10" s="143"/>
      <c r="AP10" s="143"/>
      <c r="AQ10" s="143" t="s">
        <v>430</v>
      </c>
      <c r="AR10" s="143" t="s">
        <v>39</v>
      </c>
      <c r="AS10" s="143" t="s">
        <v>431</v>
      </c>
      <c r="AT10" s="143" t="s">
        <v>432</v>
      </c>
      <c r="AU10" s="143" t="s">
        <v>433</v>
      </c>
      <c r="AV10" s="143" t="s">
        <v>421</v>
      </c>
      <c r="AW10" s="148"/>
      <c r="AX10" s="148"/>
      <c r="AY10" s="143"/>
      <c r="AZ10" s="143"/>
      <c r="BA10" s="143"/>
      <c r="BB10" s="143" t="s">
        <v>422</v>
      </c>
      <c r="BC10" s="142">
        <v>0</v>
      </c>
      <c r="BD10" s="142">
        <v>0</v>
      </c>
      <c r="BE10" s="142">
        <v>0</v>
      </c>
      <c r="BF10" s="142">
        <v>0</v>
      </c>
      <c r="BG10" s="142">
        <v>0.3</v>
      </c>
      <c r="BH10" s="142">
        <v>0.14199999999999999</v>
      </c>
      <c r="BI10" s="142">
        <v>0.40500000000000003</v>
      </c>
      <c r="BJ10" s="142">
        <v>0</v>
      </c>
      <c r="BK10" s="142">
        <v>1.1579999999999999</v>
      </c>
      <c r="BL10" s="142">
        <v>0</v>
      </c>
      <c r="BM10" s="142">
        <v>0</v>
      </c>
      <c r="BN10" s="142">
        <v>0.1</v>
      </c>
      <c r="BO10" s="142">
        <v>0</v>
      </c>
      <c r="BP10" s="142">
        <v>0</v>
      </c>
      <c r="BQ10" s="142">
        <v>1.097</v>
      </c>
      <c r="BR10" s="142">
        <v>1.3380000000000001</v>
      </c>
      <c r="BS10" s="142">
        <v>-0.24099999999999999</v>
      </c>
      <c r="BT10" s="142">
        <v>0.8</v>
      </c>
      <c r="BU10" s="142">
        <v>72.900000000000006</v>
      </c>
      <c r="BV10" s="142">
        <v>0.1</v>
      </c>
      <c r="BW10" s="152" t="s">
        <v>39</v>
      </c>
    </row>
    <row r="11" spans="5:75">
      <c r="E11" s="143" t="s">
        <v>344</v>
      </c>
      <c r="F11" s="143" t="s">
        <v>423</v>
      </c>
      <c r="G11" s="143" t="s">
        <v>424</v>
      </c>
      <c r="H11" s="143" t="s">
        <v>425</v>
      </c>
      <c r="I11" s="144" t="s">
        <v>448</v>
      </c>
      <c r="J11" s="144"/>
      <c r="K11" s="144"/>
      <c r="L11" s="161"/>
      <c r="M11" s="145">
        <v>639</v>
      </c>
      <c r="N11" s="146">
        <v>200</v>
      </c>
      <c r="O11" s="142" t="s">
        <v>449</v>
      </c>
      <c r="P11" s="143" t="s">
        <v>37</v>
      </c>
      <c r="Q11" s="143" t="s">
        <v>428</v>
      </c>
      <c r="R11" s="147">
        <v>1898</v>
      </c>
      <c r="S11" s="146">
        <v>414.33</v>
      </c>
      <c r="T11" s="148">
        <v>40452</v>
      </c>
      <c r="U11" s="149"/>
      <c r="V11" s="150">
        <v>9</v>
      </c>
      <c r="W11" s="143" t="s">
        <v>429</v>
      </c>
      <c r="X11" s="143"/>
      <c r="Y11" s="143"/>
      <c r="Z11" s="143"/>
      <c r="AA11" s="143"/>
      <c r="AB11" s="143"/>
      <c r="AC11" s="143"/>
      <c r="AD11" s="143" t="s">
        <v>448</v>
      </c>
      <c r="AE11" s="143"/>
      <c r="AF11" s="143" t="s">
        <v>416</v>
      </c>
      <c r="AG11" s="143"/>
      <c r="AH11" s="143"/>
      <c r="AI11" s="143"/>
      <c r="AJ11" s="143"/>
      <c r="AK11" s="143"/>
      <c r="AL11" s="143"/>
      <c r="AM11" s="143"/>
      <c r="AN11" s="143"/>
      <c r="AO11" s="143"/>
      <c r="AP11" s="143"/>
      <c r="AQ11" s="143" t="s">
        <v>430</v>
      </c>
      <c r="AR11" s="143" t="s">
        <v>39</v>
      </c>
      <c r="AS11" s="143" t="s">
        <v>431</v>
      </c>
      <c r="AT11" s="143" t="s">
        <v>432</v>
      </c>
      <c r="AU11" s="143" t="s">
        <v>433</v>
      </c>
      <c r="AV11" s="143" t="s">
        <v>421</v>
      </c>
      <c r="AW11" s="148"/>
      <c r="AX11" s="148"/>
      <c r="AY11" s="143"/>
      <c r="AZ11" s="143"/>
      <c r="BA11" s="143"/>
      <c r="BB11" s="143" t="s">
        <v>422</v>
      </c>
      <c r="BC11" s="142">
        <v>0</v>
      </c>
      <c r="BD11" s="142">
        <v>0</v>
      </c>
      <c r="BE11" s="142">
        <v>0</v>
      </c>
      <c r="BF11" s="142">
        <v>0</v>
      </c>
      <c r="BG11" s="142">
        <v>0.3</v>
      </c>
      <c r="BH11" s="142">
        <v>0.24299999999999999</v>
      </c>
      <c r="BI11" s="142">
        <v>0.40500000000000003</v>
      </c>
      <c r="BJ11" s="142">
        <v>0</v>
      </c>
      <c r="BK11" s="142">
        <v>0.83699999999999997</v>
      </c>
      <c r="BL11" s="142">
        <v>0</v>
      </c>
      <c r="BM11" s="142">
        <v>0</v>
      </c>
      <c r="BN11" s="142">
        <v>0.1</v>
      </c>
      <c r="BO11" s="142">
        <v>0</v>
      </c>
      <c r="BP11" s="142">
        <v>0</v>
      </c>
      <c r="BQ11" s="142">
        <v>1.097</v>
      </c>
      <c r="BR11" s="142">
        <v>0.96599999999999997</v>
      </c>
      <c r="BS11" s="142">
        <v>0.13100000000000001</v>
      </c>
      <c r="BT11" s="142">
        <v>1.1000000000000001</v>
      </c>
      <c r="BU11" s="142">
        <v>31</v>
      </c>
      <c r="BV11" s="142">
        <v>0.2</v>
      </c>
      <c r="BW11" s="143" t="s">
        <v>419</v>
      </c>
    </row>
    <row r="12" spans="5:75">
      <c r="E12" s="143" t="s">
        <v>344</v>
      </c>
      <c r="F12" s="143" t="s">
        <v>423</v>
      </c>
      <c r="G12" s="143" t="s">
        <v>424</v>
      </c>
      <c r="H12" s="143" t="s">
        <v>425</v>
      </c>
      <c r="I12" s="144" t="s">
        <v>450</v>
      </c>
      <c r="J12" s="144"/>
      <c r="K12" s="144"/>
      <c r="L12" s="161"/>
      <c r="M12" s="145">
        <v>794</v>
      </c>
      <c r="N12" s="146">
        <v>250</v>
      </c>
      <c r="O12" s="142" t="s">
        <v>451</v>
      </c>
      <c r="P12" s="143" t="s">
        <v>37</v>
      </c>
      <c r="Q12" s="143" t="s">
        <v>428</v>
      </c>
      <c r="R12" s="147">
        <v>920</v>
      </c>
      <c r="S12" s="146">
        <v>465.33</v>
      </c>
      <c r="T12" s="148">
        <v>40452</v>
      </c>
      <c r="U12" s="149"/>
      <c r="V12" s="150">
        <v>10</v>
      </c>
      <c r="W12" s="143" t="s">
        <v>429</v>
      </c>
      <c r="X12" s="143"/>
      <c r="Y12" s="143"/>
      <c r="Z12" s="143"/>
      <c r="AA12" s="143"/>
      <c r="AB12" s="143"/>
      <c r="AC12" s="143"/>
      <c r="AD12" s="143" t="s">
        <v>450</v>
      </c>
      <c r="AE12" s="143"/>
      <c r="AF12" s="143" t="s">
        <v>416</v>
      </c>
      <c r="AG12" s="143"/>
      <c r="AH12" s="143"/>
      <c r="AI12" s="143"/>
      <c r="AJ12" s="143"/>
      <c r="AK12" s="143"/>
      <c r="AL12" s="143"/>
      <c r="AM12" s="143"/>
      <c r="AN12" s="143"/>
      <c r="AO12" s="143"/>
      <c r="AP12" s="143"/>
      <c r="AQ12" s="143" t="s">
        <v>430</v>
      </c>
      <c r="AR12" s="143" t="s">
        <v>39</v>
      </c>
      <c r="AS12" s="143" t="s">
        <v>431</v>
      </c>
      <c r="AT12" s="143" t="s">
        <v>432</v>
      </c>
      <c r="AU12" s="143" t="s">
        <v>433</v>
      </c>
      <c r="AV12" s="143" t="s">
        <v>421</v>
      </c>
      <c r="AW12" s="148"/>
      <c r="AX12" s="148"/>
      <c r="AY12" s="143"/>
      <c r="AZ12" s="143"/>
      <c r="BA12" s="143"/>
      <c r="BB12" s="143" t="s">
        <v>422</v>
      </c>
      <c r="BC12" s="142">
        <v>0</v>
      </c>
      <c r="BD12" s="142">
        <v>0</v>
      </c>
      <c r="BE12" s="142">
        <v>0</v>
      </c>
      <c r="BF12" s="142">
        <v>0</v>
      </c>
      <c r="BG12" s="142">
        <v>0.3</v>
      </c>
      <c r="BH12" s="142">
        <v>0.30199999999999999</v>
      </c>
      <c r="BI12" s="142">
        <v>0.40500000000000003</v>
      </c>
      <c r="BJ12" s="142">
        <v>0</v>
      </c>
      <c r="BK12" s="142">
        <v>0.69299999999999995</v>
      </c>
      <c r="BL12" s="142">
        <v>0</v>
      </c>
      <c r="BM12" s="142">
        <v>0</v>
      </c>
      <c r="BN12" s="142">
        <v>0.1</v>
      </c>
      <c r="BO12" s="142">
        <v>0</v>
      </c>
      <c r="BP12" s="142">
        <v>0</v>
      </c>
      <c r="BQ12" s="142">
        <v>1.097</v>
      </c>
      <c r="BR12" s="142">
        <v>0.81</v>
      </c>
      <c r="BS12" s="142">
        <v>0.28699999999999998</v>
      </c>
      <c r="BT12" s="142">
        <v>1.4</v>
      </c>
      <c r="BU12" s="142">
        <v>13.4</v>
      </c>
      <c r="BV12" s="142">
        <v>0.3</v>
      </c>
      <c r="BW12" s="143" t="s">
        <v>419</v>
      </c>
    </row>
    <row r="13" spans="5:75">
      <c r="E13" s="143" t="s">
        <v>344</v>
      </c>
      <c r="F13" s="143" t="s">
        <v>423</v>
      </c>
      <c r="G13" s="143" t="s">
        <v>424</v>
      </c>
      <c r="H13" s="143" t="s">
        <v>425</v>
      </c>
      <c r="I13" s="144" t="s">
        <v>452</v>
      </c>
      <c r="J13" s="144"/>
      <c r="K13" s="144"/>
      <c r="L13" s="161"/>
      <c r="M13" s="145">
        <v>946</v>
      </c>
      <c r="N13" s="146">
        <v>300</v>
      </c>
      <c r="O13" s="142" t="s">
        <v>453</v>
      </c>
      <c r="P13" s="143" t="s">
        <v>37</v>
      </c>
      <c r="Q13" s="143" t="s">
        <v>428</v>
      </c>
      <c r="R13" s="147">
        <v>200</v>
      </c>
      <c r="S13" s="146">
        <v>518.33000000000004</v>
      </c>
      <c r="T13" s="148">
        <v>40452</v>
      </c>
      <c r="U13" s="149"/>
      <c r="V13" s="150">
        <v>10</v>
      </c>
      <c r="W13" s="143" t="s">
        <v>429</v>
      </c>
      <c r="X13" s="143"/>
      <c r="Y13" s="143"/>
      <c r="Z13" s="143"/>
      <c r="AA13" s="143"/>
      <c r="AB13" s="143"/>
      <c r="AC13" s="143"/>
      <c r="AD13" s="143" t="s">
        <v>452</v>
      </c>
      <c r="AE13" s="143"/>
      <c r="AF13" s="143" t="s">
        <v>416</v>
      </c>
      <c r="AG13" s="143"/>
      <c r="AH13" s="143"/>
      <c r="AI13" s="143"/>
      <c r="AJ13" s="143"/>
      <c r="AK13" s="143"/>
      <c r="AL13" s="143"/>
      <c r="AM13" s="143"/>
      <c r="AN13" s="143"/>
      <c r="AO13" s="143"/>
      <c r="AP13" s="143"/>
      <c r="AQ13" s="143" t="s">
        <v>430</v>
      </c>
      <c r="AR13" s="143" t="s">
        <v>39</v>
      </c>
      <c r="AS13" s="143" t="s">
        <v>431</v>
      </c>
      <c r="AT13" s="143" t="s">
        <v>432</v>
      </c>
      <c r="AU13" s="143" t="s">
        <v>433</v>
      </c>
      <c r="AV13" s="143" t="s">
        <v>421</v>
      </c>
      <c r="AW13" s="148"/>
      <c r="AX13" s="148"/>
      <c r="AY13" s="143"/>
      <c r="AZ13" s="143"/>
      <c r="BA13" s="143"/>
      <c r="BB13" s="143" t="s">
        <v>422</v>
      </c>
      <c r="BC13" s="142">
        <v>0</v>
      </c>
      <c r="BD13" s="142">
        <v>0</v>
      </c>
      <c r="BE13" s="142">
        <v>0</v>
      </c>
      <c r="BF13" s="142">
        <v>0</v>
      </c>
      <c r="BG13" s="142">
        <v>0.3</v>
      </c>
      <c r="BH13" s="142">
        <v>0.36</v>
      </c>
      <c r="BI13" s="142">
        <v>0.40500000000000003</v>
      </c>
      <c r="BJ13" s="142">
        <v>0</v>
      </c>
      <c r="BK13" s="142">
        <v>0.64800000000000002</v>
      </c>
      <c r="BL13" s="142">
        <v>0</v>
      </c>
      <c r="BM13" s="142">
        <v>0</v>
      </c>
      <c r="BN13" s="142">
        <v>0.1</v>
      </c>
      <c r="BO13" s="142">
        <v>0</v>
      </c>
      <c r="BP13" s="142">
        <v>0</v>
      </c>
      <c r="BQ13" s="142">
        <v>1.097</v>
      </c>
      <c r="BR13" s="142">
        <v>0.75700000000000001</v>
      </c>
      <c r="BS13" s="142">
        <v>0.34</v>
      </c>
      <c r="BT13" s="142">
        <v>1.4</v>
      </c>
      <c r="BU13" s="142">
        <v>7.5</v>
      </c>
      <c r="BV13" s="142">
        <v>0.4</v>
      </c>
      <c r="BW13" s="143" t="s">
        <v>419</v>
      </c>
    </row>
    <row r="14" spans="5:75">
      <c r="E14" s="143" t="s">
        <v>344</v>
      </c>
      <c r="F14" s="143" t="s">
        <v>423</v>
      </c>
      <c r="G14" s="143" t="s">
        <v>424</v>
      </c>
      <c r="H14" s="143" t="s">
        <v>425</v>
      </c>
      <c r="I14" s="144" t="s">
        <v>454</v>
      </c>
      <c r="J14" s="144"/>
      <c r="K14" s="144"/>
      <c r="L14" s="161"/>
      <c r="M14" s="145">
        <v>1254</v>
      </c>
      <c r="N14" s="146">
        <v>400</v>
      </c>
      <c r="O14" s="142" t="s">
        <v>455</v>
      </c>
      <c r="P14" s="143" t="s">
        <v>37</v>
      </c>
      <c r="Q14" s="143" t="s">
        <v>428</v>
      </c>
      <c r="R14" s="147">
        <v>423</v>
      </c>
      <c r="S14" s="146">
        <v>624</v>
      </c>
      <c r="T14" s="148">
        <v>40452</v>
      </c>
      <c r="U14" s="149"/>
      <c r="V14" s="150">
        <v>10</v>
      </c>
      <c r="W14" s="143" t="s">
        <v>429</v>
      </c>
      <c r="X14" s="143"/>
      <c r="Y14" s="143"/>
      <c r="Z14" s="143"/>
      <c r="AA14" s="143"/>
      <c r="AB14" s="143"/>
      <c r="AC14" s="143"/>
      <c r="AD14" s="143" t="s">
        <v>454</v>
      </c>
      <c r="AE14" s="143"/>
      <c r="AF14" s="143" t="s">
        <v>416</v>
      </c>
      <c r="AG14" s="143"/>
      <c r="AH14" s="143"/>
      <c r="AI14" s="143"/>
      <c r="AJ14" s="143"/>
      <c r="AK14" s="143"/>
      <c r="AL14" s="143"/>
      <c r="AM14" s="143"/>
      <c r="AN14" s="143"/>
      <c r="AO14" s="143"/>
      <c r="AP14" s="143"/>
      <c r="AQ14" s="143" t="s">
        <v>430</v>
      </c>
      <c r="AR14" s="143" t="s">
        <v>39</v>
      </c>
      <c r="AS14" s="143" t="s">
        <v>431</v>
      </c>
      <c r="AT14" s="143" t="s">
        <v>432</v>
      </c>
      <c r="AU14" s="143" t="s">
        <v>433</v>
      </c>
      <c r="AV14" s="143" t="s">
        <v>421</v>
      </c>
      <c r="AW14" s="148"/>
      <c r="AX14" s="148"/>
      <c r="AY14" s="143"/>
      <c r="AZ14" s="143"/>
      <c r="BA14" s="143"/>
      <c r="BB14" s="143" t="s">
        <v>422</v>
      </c>
      <c r="BC14" s="142">
        <v>0</v>
      </c>
      <c r="BD14" s="142">
        <v>0</v>
      </c>
      <c r="BE14" s="142">
        <v>0</v>
      </c>
      <c r="BF14" s="142">
        <v>0</v>
      </c>
      <c r="BG14" s="142">
        <v>0.3</v>
      </c>
      <c r="BH14" s="142">
        <v>0.47699999999999998</v>
      </c>
      <c r="BI14" s="142">
        <v>0.40500000000000003</v>
      </c>
      <c r="BJ14" s="142">
        <v>0</v>
      </c>
      <c r="BK14" s="142">
        <v>0.58899999999999997</v>
      </c>
      <c r="BL14" s="142">
        <v>0</v>
      </c>
      <c r="BM14" s="142">
        <v>0</v>
      </c>
      <c r="BN14" s="142">
        <v>0.1</v>
      </c>
      <c r="BO14" s="142">
        <v>0</v>
      </c>
      <c r="BP14" s="142">
        <v>0</v>
      </c>
      <c r="BQ14" s="142">
        <v>1.097</v>
      </c>
      <c r="BR14" s="142">
        <v>0.68799999999999994</v>
      </c>
      <c r="BS14" s="142">
        <v>0.40899999999999997</v>
      </c>
      <c r="BT14" s="142">
        <v>1.6</v>
      </c>
      <c r="BU14" s="142">
        <v>-0.4</v>
      </c>
      <c r="BV14" s="142">
        <v>0.5</v>
      </c>
      <c r="BW14" s="143" t="s">
        <v>419</v>
      </c>
    </row>
    <row r="15" spans="5:75">
      <c r="E15" s="143" t="s">
        <v>344</v>
      </c>
      <c r="F15" s="143" t="s">
        <v>423</v>
      </c>
      <c r="G15" s="143" t="s">
        <v>424</v>
      </c>
      <c r="H15" s="143" t="s">
        <v>425</v>
      </c>
      <c r="I15" s="144" t="s">
        <v>456</v>
      </c>
      <c r="J15" s="144"/>
      <c r="K15" s="144"/>
      <c r="L15" s="161"/>
      <c r="M15" s="145">
        <v>1566</v>
      </c>
      <c r="N15" s="146">
        <v>500</v>
      </c>
      <c r="O15" s="142" t="s">
        <v>457</v>
      </c>
      <c r="P15" s="143" t="s">
        <v>37</v>
      </c>
      <c r="Q15" s="143" t="s">
        <v>428</v>
      </c>
      <c r="R15" s="147">
        <v>969</v>
      </c>
      <c r="S15" s="146">
        <v>802</v>
      </c>
      <c r="T15" s="148">
        <v>40452</v>
      </c>
      <c r="U15" s="149"/>
      <c r="V15" s="150">
        <v>8</v>
      </c>
      <c r="W15" s="143" t="s">
        <v>429</v>
      </c>
      <c r="X15" s="143"/>
      <c r="Y15" s="143"/>
      <c r="Z15" s="143"/>
      <c r="AA15" s="143"/>
      <c r="AB15" s="143"/>
      <c r="AC15" s="143"/>
      <c r="AD15" s="143" t="s">
        <v>456</v>
      </c>
      <c r="AE15" s="143"/>
      <c r="AF15" s="143" t="s">
        <v>416</v>
      </c>
      <c r="AG15" s="143"/>
      <c r="AH15" s="143"/>
      <c r="AI15" s="143"/>
      <c r="AJ15" s="143"/>
      <c r="AK15" s="143"/>
      <c r="AL15" s="143"/>
      <c r="AM15" s="143"/>
      <c r="AN15" s="143"/>
      <c r="AO15" s="143"/>
      <c r="AP15" s="143"/>
      <c r="AQ15" s="143" t="s">
        <v>430</v>
      </c>
      <c r="AR15" s="143" t="s">
        <v>39</v>
      </c>
      <c r="AS15" s="143" t="s">
        <v>431</v>
      </c>
      <c r="AT15" s="143" t="s">
        <v>432</v>
      </c>
      <c r="AU15" s="143" t="s">
        <v>433</v>
      </c>
      <c r="AV15" s="143" t="s">
        <v>421</v>
      </c>
      <c r="AW15" s="148"/>
      <c r="AX15" s="148"/>
      <c r="AY15" s="143"/>
      <c r="AZ15" s="143"/>
      <c r="BA15" s="143"/>
      <c r="BB15" s="143" t="s">
        <v>422</v>
      </c>
      <c r="BC15" s="142">
        <v>0</v>
      </c>
      <c r="BD15" s="142">
        <v>0</v>
      </c>
      <c r="BE15" s="142">
        <v>0</v>
      </c>
      <c r="BF15" s="142">
        <v>0</v>
      </c>
      <c r="BG15" s="142">
        <v>0.3</v>
      </c>
      <c r="BH15" s="142">
        <v>0.59599999999999997</v>
      </c>
      <c r="BI15" s="142">
        <v>0.40500000000000003</v>
      </c>
      <c r="BJ15" s="142">
        <v>0</v>
      </c>
      <c r="BK15" s="142">
        <v>0.72899999999999998</v>
      </c>
      <c r="BL15" s="142">
        <v>0</v>
      </c>
      <c r="BM15" s="142">
        <v>0</v>
      </c>
      <c r="BN15" s="142">
        <v>0.1</v>
      </c>
      <c r="BO15" s="142">
        <v>0</v>
      </c>
      <c r="BP15" s="142">
        <v>0</v>
      </c>
      <c r="BQ15" s="142">
        <v>1.097</v>
      </c>
      <c r="BR15" s="142">
        <v>0.83099999999999996</v>
      </c>
      <c r="BS15" s="142">
        <v>0.26600000000000001</v>
      </c>
      <c r="BT15" s="142">
        <v>1.3</v>
      </c>
      <c r="BU15" s="142">
        <v>15.8</v>
      </c>
      <c r="BV15" s="142">
        <v>0.6</v>
      </c>
      <c r="BW15" s="143" t="s">
        <v>419</v>
      </c>
    </row>
    <row r="16" spans="5:75">
      <c r="E16" s="143" t="s">
        <v>344</v>
      </c>
      <c r="F16" s="143" t="s">
        <v>423</v>
      </c>
      <c r="G16" s="143" t="s">
        <v>424</v>
      </c>
      <c r="H16" s="143" t="s">
        <v>425</v>
      </c>
      <c r="I16" s="144" t="s">
        <v>458</v>
      </c>
      <c r="J16" s="144"/>
      <c r="K16" s="144"/>
      <c r="L16" s="161"/>
      <c r="M16" s="145">
        <v>1876</v>
      </c>
      <c r="N16" s="146">
        <v>600</v>
      </c>
      <c r="O16" s="142" t="s">
        <v>459</v>
      </c>
      <c r="P16" s="143" t="s">
        <v>37</v>
      </c>
      <c r="Q16" s="143" t="s">
        <v>428</v>
      </c>
      <c r="R16" s="147">
        <v>2636</v>
      </c>
      <c r="S16" s="146">
        <v>810.67</v>
      </c>
      <c r="T16" s="148">
        <v>40452</v>
      </c>
      <c r="U16" s="149"/>
      <c r="V16" s="150">
        <v>8</v>
      </c>
      <c r="W16" s="143" t="s">
        <v>429</v>
      </c>
      <c r="X16" s="143"/>
      <c r="Y16" s="143"/>
      <c r="Z16" s="143"/>
      <c r="AA16" s="143"/>
      <c r="AB16" s="143"/>
      <c r="AC16" s="143"/>
      <c r="AD16" s="143" t="s">
        <v>458</v>
      </c>
      <c r="AE16" s="143"/>
      <c r="AF16" s="143" t="s">
        <v>416</v>
      </c>
      <c r="AG16" s="143"/>
      <c r="AH16" s="143"/>
      <c r="AI16" s="143"/>
      <c r="AJ16" s="143"/>
      <c r="AK16" s="143"/>
      <c r="AL16" s="143"/>
      <c r="AM16" s="143"/>
      <c r="AN16" s="143"/>
      <c r="AO16" s="143"/>
      <c r="AP16" s="143"/>
      <c r="AQ16" s="143" t="s">
        <v>430</v>
      </c>
      <c r="AR16" s="143" t="s">
        <v>39</v>
      </c>
      <c r="AS16" s="143" t="s">
        <v>431</v>
      </c>
      <c r="AT16" s="143" t="s">
        <v>432</v>
      </c>
      <c r="AU16" s="143" t="s">
        <v>433</v>
      </c>
      <c r="AV16" s="143" t="s">
        <v>421</v>
      </c>
      <c r="AW16" s="148"/>
      <c r="AX16" s="148"/>
      <c r="AY16" s="143"/>
      <c r="AZ16" s="143"/>
      <c r="BA16" s="143"/>
      <c r="BB16" s="143" t="s">
        <v>422</v>
      </c>
      <c r="BC16" s="142">
        <v>0</v>
      </c>
      <c r="BD16" s="142">
        <v>0</v>
      </c>
      <c r="BE16" s="142">
        <v>0</v>
      </c>
      <c r="BF16" s="142">
        <v>0</v>
      </c>
      <c r="BG16" s="142">
        <v>0.3</v>
      </c>
      <c r="BH16" s="142">
        <v>0.71399999999999997</v>
      </c>
      <c r="BI16" s="142">
        <v>0.40500000000000003</v>
      </c>
      <c r="BJ16" s="142">
        <v>0</v>
      </c>
      <c r="BK16" s="142">
        <v>0.61499999999999999</v>
      </c>
      <c r="BL16" s="142">
        <v>0</v>
      </c>
      <c r="BM16" s="142">
        <v>0</v>
      </c>
      <c r="BN16" s="142">
        <v>0.1</v>
      </c>
      <c r="BO16" s="142">
        <v>0</v>
      </c>
      <c r="BP16" s="142">
        <v>0</v>
      </c>
      <c r="BQ16" s="142">
        <v>1.097</v>
      </c>
      <c r="BR16" s="142">
        <v>0.70099999999999996</v>
      </c>
      <c r="BS16" s="142">
        <v>0.39600000000000002</v>
      </c>
      <c r="BT16" s="142">
        <v>1.6</v>
      </c>
      <c r="BU16" s="142">
        <v>1.1000000000000001</v>
      </c>
      <c r="BV16" s="142">
        <v>0.7</v>
      </c>
      <c r="BW16" s="143" t="s">
        <v>419</v>
      </c>
    </row>
    <row r="17" spans="5:75">
      <c r="E17" s="143" t="s">
        <v>344</v>
      </c>
      <c r="F17" s="143" t="s">
        <v>423</v>
      </c>
      <c r="G17" s="143" t="s">
        <v>424</v>
      </c>
      <c r="H17" s="143" t="s">
        <v>425</v>
      </c>
      <c r="I17" s="144" t="s">
        <v>460</v>
      </c>
      <c r="J17" s="144"/>
      <c r="K17" s="144"/>
      <c r="L17" s="161"/>
      <c r="M17" s="145">
        <v>2189</v>
      </c>
      <c r="N17" s="146">
        <v>700</v>
      </c>
      <c r="O17" s="142" t="s">
        <v>461</v>
      </c>
      <c r="P17" s="143" t="s">
        <v>37</v>
      </c>
      <c r="Q17" s="143" t="s">
        <v>428</v>
      </c>
      <c r="R17" s="147">
        <v>3064</v>
      </c>
      <c r="S17" s="146">
        <v>849.67</v>
      </c>
      <c r="T17" s="148">
        <v>40452</v>
      </c>
      <c r="U17" s="149"/>
      <c r="V17" s="150">
        <v>8</v>
      </c>
      <c r="W17" s="143" t="s">
        <v>429</v>
      </c>
      <c r="X17" s="143"/>
      <c r="Y17" s="143"/>
      <c r="Z17" s="143"/>
      <c r="AA17" s="143"/>
      <c r="AB17" s="143"/>
      <c r="AC17" s="143"/>
      <c r="AD17" s="143" t="s">
        <v>460</v>
      </c>
      <c r="AE17" s="143"/>
      <c r="AF17" s="143" t="s">
        <v>416</v>
      </c>
      <c r="AG17" s="143"/>
      <c r="AH17" s="143"/>
      <c r="AI17" s="143"/>
      <c r="AJ17" s="143"/>
      <c r="AK17" s="143"/>
      <c r="AL17" s="143"/>
      <c r="AM17" s="143"/>
      <c r="AN17" s="143"/>
      <c r="AO17" s="143"/>
      <c r="AP17" s="143"/>
      <c r="AQ17" s="143" t="s">
        <v>430</v>
      </c>
      <c r="AR17" s="143" t="s">
        <v>39</v>
      </c>
      <c r="AS17" s="143" t="s">
        <v>431</v>
      </c>
      <c r="AT17" s="143" t="s">
        <v>432</v>
      </c>
      <c r="AU17" s="143" t="s">
        <v>433</v>
      </c>
      <c r="AV17" s="143" t="s">
        <v>421</v>
      </c>
      <c r="AW17" s="148"/>
      <c r="AX17" s="148"/>
      <c r="AY17" s="143"/>
      <c r="AZ17" s="143"/>
      <c r="BA17" s="143"/>
      <c r="BB17" s="143" t="s">
        <v>422</v>
      </c>
      <c r="BC17" s="142">
        <v>0</v>
      </c>
      <c r="BD17" s="142">
        <v>0</v>
      </c>
      <c r="BE17" s="142">
        <v>0</v>
      </c>
      <c r="BF17" s="142">
        <v>0</v>
      </c>
      <c r="BG17" s="142">
        <v>0.3</v>
      </c>
      <c r="BH17" s="142">
        <v>0.83299999999999996</v>
      </c>
      <c r="BI17" s="142">
        <v>0.40500000000000003</v>
      </c>
      <c r="BJ17" s="142">
        <v>0</v>
      </c>
      <c r="BK17" s="142">
        <v>0.55200000000000005</v>
      </c>
      <c r="BL17" s="142">
        <v>0</v>
      </c>
      <c r="BM17" s="142">
        <v>0</v>
      </c>
      <c r="BN17" s="142">
        <v>0.1</v>
      </c>
      <c r="BO17" s="142">
        <v>0</v>
      </c>
      <c r="BP17" s="142">
        <v>0</v>
      </c>
      <c r="BQ17" s="142">
        <v>1.097</v>
      </c>
      <c r="BR17" s="142">
        <v>0.63</v>
      </c>
      <c r="BS17" s="142">
        <v>0.46700000000000003</v>
      </c>
      <c r="BT17" s="142">
        <v>1.7</v>
      </c>
      <c r="BU17" s="142">
        <v>-6.9</v>
      </c>
      <c r="BV17" s="142">
        <v>0.8</v>
      </c>
      <c r="BW17" s="143" t="s">
        <v>419</v>
      </c>
    </row>
    <row r="18" spans="5:75">
      <c r="E18" s="143" t="s">
        <v>344</v>
      </c>
      <c r="F18" s="143" t="s">
        <v>423</v>
      </c>
      <c r="G18" s="143" t="s">
        <v>424</v>
      </c>
      <c r="H18" s="143" t="s">
        <v>425</v>
      </c>
      <c r="I18" s="144" t="s">
        <v>462</v>
      </c>
      <c r="J18" s="144"/>
      <c r="K18" s="144"/>
      <c r="L18" s="161"/>
      <c r="M18" s="145">
        <v>2494</v>
      </c>
      <c r="N18" s="146">
        <v>800</v>
      </c>
      <c r="O18" s="142" t="s">
        <v>463</v>
      </c>
      <c r="P18" s="143" t="s">
        <v>37</v>
      </c>
      <c r="Q18" s="143" t="s">
        <v>428</v>
      </c>
      <c r="R18" s="147">
        <v>120</v>
      </c>
      <c r="S18" s="146">
        <v>949</v>
      </c>
      <c r="T18" s="148">
        <v>40452</v>
      </c>
      <c r="U18" s="149"/>
      <c r="V18" s="150">
        <v>8</v>
      </c>
      <c r="W18" s="143" t="s">
        <v>429</v>
      </c>
      <c r="X18" s="143"/>
      <c r="Y18" s="143"/>
      <c r="Z18" s="143"/>
      <c r="AA18" s="143"/>
      <c r="AB18" s="143"/>
      <c r="AC18" s="143"/>
      <c r="AD18" s="143" t="s">
        <v>462</v>
      </c>
      <c r="AE18" s="143"/>
      <c r="AF18" s="143" t="s">
        <v>416</v>
      </c>
      <c r="AG18" s="143"/>
      <c r="AH18" s="143"/>
      <c r="AI18" s="143"/>
      <c r="AJ18" s="143"/>
      <c r="AK18" s="143"/>
      <c r="AL18" s="143"/>
      <c r="AM18" s="143"/>
      <c r="AN18" s="143"/>
      <c r="AO18" s="143"/>
      <c r="AP18" s="143"/>
      <c r="AQ18" s="143" t="s">
        <v>430</v>
      </c>
      <c r="AR18" s="143" t="s">
        <v>39</v>
      </c>
      <c r="AS18" s="143" t="s">
        <v>431</v>
      </c>
      <c r="AT18" s="143" t="s">
        <v>432</v>
      </c>
      <c r="AU18" s="143" t="s">
        <v>433</v>
      </c>
      <c r="AV18" s="143" t="s">
        <v>421</v>
      </c>
      <c r="AW18" s="148"/>
      <c r="AX18" s="148"/>
      <c r="AY18" s="143"/>
      <c r="AZ18" s="143"/>
      <c r="BA18" s="143"/>
      <c r="BB18" s="143" t="s">
        <v>422</v>
      </c>
      <c r="BC18" s="142">
        <v>0</v>
      </c>
      <c r="BD18" s="142">
        <v>0</v>
      </c>
      <c r="BE18" s="142">
        <v>0</v>
      </c>
      <c r="BF18" s="142">
        <v>0</v>
      </c>
      <c r="BG18" s="142">
        <v>0.3</v>
      </c>
      <c r="BH18" s="142">
        <v>0.94899999999999995</v>
      </c>
      <c r="BI18" s="142">
        <v>0.40500000000000003</v>
      </c>
      <c r="BJ18" s="142">
        <v>0</v>
      </c>
      <c r="BK18" s="142">
        <v>0.54100000000000004</v>
      </c>
      <c r="BL18" s="142">
        <v>0</v>
      </c>
      <c r="BM18" s="142">
        <v>0</v>
      </c>
      <c r="BN18" s="142">
        <v>0.1</v>
      </c>
      <c r="BO18" s="142">
        <v>0</v>
      </c>
      <c r="BP18" s="142">
        <v>0</v>
      </c>
      <c r="BQ18" s="142">
        <v>1.097</v>
      </c>
      <c r="BR18" s="142">
        <v>0.61699999999999999</v>
      </c>
      <c r="BS18" s="142">
        <v>0.48</v>
      </c>
      <c r="BT18" s="142">
        <v>1.8</v>
      </c>
      <c r="BU18" s="142">
        <v>-8.3000000000000007</v>
      </c>
      <c r="BV18" s="142">
        <v>0.9</v>
      </c>
      <c r="BW18" s="143" t="s">
        <v>419</v>
      </c>
    </row>
    <row r="19" spans="5:75">
      <c r="E19" s="143" t="s">
        <v>344</v>
      </c>
      <c r="F19" s="143" t="s">
        <v>423</v>
      </c>
      <c r="G19" s="143" t="s">
        <v>424</v>
      </c>
      <c r="H19" s="143" t="s">
        <v>425</v>
      </c>
      <c r="I19" s="144" t="s">
        <v>464</v>
      </c>
      <c r="J19" s="144"/>
      <c r="K19" s="144"/>
      <c r="L19" s="161"/>
      <c r="M19" s="145">
        <v>2798</v>
      </c>
      <c r="N19" s="146">
        <v>900</v>
      </c>
      <c r="O19" s="142" t="s">
        <v>465</v>
      </c>
      <c r="P19" s="143" t="s">
        <v>37</v>
      </c>
      <c r="Q19" s="143" t="s">
        <v>428</v>
      </c>
      <c r="R19" s="147">
        <v>256</v>
      </c>
      <c r="S19" s="146">
        <v>1037.33</v>
      </c>
      <c r="T19" s="148">
        <v>40452</v>
      </c>
      <c r="U19" s="149"/>
      <c r="V19" s="150">
        <v>8</v>
      </c>
      <c r="W19" s="143" t="s">
        <v>429</v>
      </c>
      <c r="X19" s="143"/>
      <c r="Y19" s="143"/>
      <c r="Z19" s="143"/>
      <c r="AA19" s="143"/>
      <c r="AB19" s="143"/>
      <c r="AC19" s="143"/>
      <c r="AD19" s="143" t="s">
        <v>464</v>
      </c>
      <c r="AE19" s="143"/>
      <c r="AF19" s="143" t="s">
        <v>416</v>
      </c>
      <c r="AG19" s="143"/>
      <c r="AH19" s="143"/>
      <c r="AI19" s="143"/>
      <c r="AJ19" s="143"/>
      <c r="AK19" s="143"/>
      <c r="AL19" s="143"/>
      <c r="AM19" s="143"/>
      <c r="AN19" s="143"/>
      <c r="AO19" s="143"/>
      <c r="AP19" s="143"/>
      <c r="AQ19" s="143" t="s">
        <v>430</v>
      </c>
      <c r="AR19" s="143" t="s">
        <v>39</v>
      </c>
      <c r="AS19" s="143" t="s">
        <v>431</v>
      </c>
      <c r="AT19" s="143" t="s">
        <v>432</v>
      </c>
      <c r="AU19" s="143" t="s">
        <v>433</v>
      </c>
      <c r="AV19" s="143" t="s">
        <v>421</v>
      </c>
      <c r="AW19" s="148"/>
      <c r="AX19" s="148"/>
      <c r="AY19" s="143"/>
      <c r="AZ19" s="143"/>
      <c r="BA19" s="143"/>
      <c r="BB19" s="143" t="s">
        <v>422</v>
      </c>
      <c r="BC19" s="142">
        <v>0</v>
      </c>
      <c r="BD19" s="142">
        <v>0</v>
      </c>
      <c r="BE19" s="142">
        <v>0</v>
      </c>
      <c r="BF19" s="142">
        <v>0</v>
      </c>
      <c r="BG19" s="142">
        <v>0.3</v>
      </c>
      <c r="BH19" s="142">
        <v>1.0649999999999999</v>
      </c>
      <c r="BI19" s="142">
        <v>0.40500000000000003</v>
      </c>
      <c r="BJ19" s="142">
        <v>0</v>
      </c>
      <c r="BK19" s="142">
        <v>0.52700000000000002</v>
      </c>
      <c r="BL19" s="142">
        <v>0</v>
      </c>
      <c r="BM19" s="142">
        <v>0</v>
      </c>
      <c r="BN19" s="142">
        <v>0.1</v>
      </c>
      <c r="BO19" s="142">
        <v>0</v>
      </c>
      <c r="BP19" s="142">
        <v>0</v>
      </c>
      <c r="BQ19" s="142">
        <v>1.097</v>
      </c>
      <c r="BR19" s="142">
        <v>0.60199999999999998</v>
      </c>
      <c r="BS19" s="142">
        <v>0.495</v>
      </c>
      <c r="BT19" s="142">
        <v>1.8</v>
      </c>
      <c r="BU19" s="142">
        <v>-10.1</v>
      </c>
      <c r="BV19" s="142">
        <v>1</v>
      </c>
      <c r="BW19" s="143" t="s">
        <v>419</v>
      </c>
    </row>
    <row r="20" spans="5:75">
      <c r="E20" s="143" t="s">
        <v>344</v>
      </c>
      <c r="F20" s="143" t="s">
        <v>423</v>
      </c>
      <c r="G20" s="143" t="s">
        <v>424</v>
      </c>
      <c r="H20" s="143" t="s">
        <v>425</v>
      </c>
      <c r="I20" s="144" t="s">
        <v>466</v>
      </c>
      <c r="J20" s="144"/>
      <c r="K20" s="144"/>
      <c r="L20" s="161"/>
      <c r="M20" s="145">
        <v>3109</v>
      </c>
      <c r="N20" s="146">
        <v>1000</v>
      </c>
      <c r="O20" s="142" t="s">
        <v>467</v>
      </c>
      <c r="P20" s="143" t="s">
        <v>37</v>
      </c>
      <c r="Q20" s="143" t="s">
        <v>428</v>
      </c>
      <c r="R20" s="147">
        <v>684</v>
      </c>
      <c r="S20" s="146">
        <v>1120.67</v>
      </c>
      <c r="T20" s="148">
        <v>40452</v>
      </c>
      <c r="U20" s="149"/>
      <c r="V20" s="150">
        <v>8</v>
      </c>
      <c r="W20" s="143" t="s">
        <v>429</v>
      </c>
      <c r="X20" s="143"/>
      <c r="Y20" s="143"/>
      <c r="Z20" s="143"/>
      <c r="AA20" s="143"/>
      <c r="AB20" s="143"/>
      <c r="AC20" s="143"/>
      <c r="AD20" s="143" t="s">
        <v>466</v>
      </c>
      <c r="AE20" s="143"/>
      <c r="AF20" s="143" t="s">
        <v>416</v>
      </c>
      <c r="AG20" s="143"/>
      <c r="AH20" s="143"/>
      <c r="AI20" s="143"/>
      <c r="AJ20" s="143"/>
      <c r="AK20" s="143"/>
      <c r="AL20" s="143"/>
      <c r="AM20" s="143"/>
      <c r="AN20" s="143"/>
      <c r="AO20" s="143"/>
      <c r="AP20" s="143"/>
      <c r="AQ20" s="143" t="s">
        <v>430</v>
      </c>
      <c r="AR20" s="143" t="s">
        <v>39</v>
      </c>
      <c r="AS20" s="143" t="s">
        <v>431</v>
      </c>
      <c r="AT20" s="143" t="s">
        <v>432</v>
      </c>
      <c r="AU20" s="143" t="s">
        <v>433</v>
      </c>
      <c r="AV20" s="143" t="s">
        <v>421</v>
      </c>
      <c r="AW20" s="148"/>
      <c r="AX20" s="148"/>
      <c r="AY20" s="143"/>
      <c r="AZ20" s="143"/>
      <c r="BA20" s="143"/>
      <c r="BB20" s="143" t="s">
        <v>422</v>
      </c>
      <c r="BC20" s="142">
        <v>0</v>
      </c>
      <c r="BD20" s="142">
        <v>0</v>
      </c>
      <c r="BE20" s="142">
        <v>0</v>
      </c>
      <c r="BF20" s="142">
        <v>0</v>
      </c>
      <c r="BG20" s="142">
        <v>0.3</v>
      </c>
      <c r="BH20" s="142">
        <v>1.1830000000000001</v>
      </c>
      <c r="BI20" s="142">
        <v>0.40500000000000003</v>
      </c>
      <c r="BJ20" s="142">
        <v>0</v>
      </c>
      <c r="BK20" s="142">
        <v>0.51300000000000001</v>
      </c>
      <c r="BL20" s="142">
        <v>0</v>
      </c>
      <c r="BM20" s="142">
        <v>0</v>
      </c>
      <c r="BN20" s="142">
        <v>0.1</v>
      </c>
      <c r="BO20" s="142">
        <v>0</v>
      </c>
      <c r="BP20" s="142">
        <v>0</v>
      </c>
      <c r="BQ20" s="142">
        <v>1.097</v>
      </c>
      <c r="BR20" s="142">
        <v>0.58499999999999996</v>
      </c>
      <c r="BS20" s="142">
        <v>0.51200000000000001</v>
      </c>
      <c r="BT20" s="142">
        <v>1.9</v>
      </c>
      <c r="BU20" s="142">
        <v>-12</v>
      </c>
      <c r="BV20" s="142">
        <v>1.2</v>
      </c>
      <c r="BW20" s="143" t="s">
        <v>419</v>
      </c>
    </row>
    <row r="21" spans="5:75">
      <c r="E21" s="143" t="s">
        <v>344</v>
      </c>
      <c r="F21" s="143" t="s">
        <v>423</v>
      </c>
      <c r="G21" s="143" t="s">
        <v>424</v>
      </c>
      <c r="H21" s="143" t="s">
        <v>425</v>
      </c>
      <c r="I21" s="144" t="s">
        <v>468</v>
      </c>
      <c r="J21" s="144"/>
      <c r="K21" s="144"/>
      <c r="L21" s="144"/>
      <c r="M21" s="145">
        <v>3731</v>
      </c>
      <c r="N21" s="146">
        <v>1200</v>
      </c>
      <c r="O21" s="142" t="s">
        <v>469</v>
      </c>
      <c r="P21" s="143" t="s">
        <v>37</v>
      </c>
      <c r="Q21" s="143" t="s">
        <v>428</v>
      </c>
      <c r="R21" s="147">
        <v>2201</v>
      </c>
      <c r="S21" s="146">
        <v>1651.45</v>
      </c>
      <c r="T21" s="148">
        <v>40452</v>
      </c>
      <c r="U21" s="149"/>
      <c r="V21" s="150">
        <v>7</v>
      </c>
      <c r="W21" s="143" t="s">
        <v>429</v>
      </c>
      <c r="X21" s="143"/>
      <c r="Y21" s="143"/>
      <c r="Z21" s="143"/>
      <c r="AA21" s="143"/>
      <c r="AB21" s="143"/>
      <c r="AC21" s="143"/>
      <c r="AD21" s="143" t="s">
        <v>468</v>
      </c>
      <c r="AE21" s="143"/>
      <c r="AF21" s="143" t="s">
        <v>416</v>
      </c>
      <c r="AG21" s="143"/>
      <c r="AH21" s="143"/>
      <c r="AI21" s="143"/>
      <c r="AJ21" s="143"/>
      <c r="AK21" s="143"/>
      <c r="AL21" s="143"/>
      <c r="AM21" s="143"/>
      <c r="AN21" s="143"/>
      <c r="AO21" s="143"/>
      <c r="AP21" s="143"/>
      <c r="AQ21" s="143" t="s">
        <v>430</v>
      </c>
      <c r="AR21" s="143" t="s">
        <v>39</v>
      </c>
      <c r="AS21" s="143" t="s">
        <v>431</v>
      </c>
      <c r="AT21" s="143" t="s">
        <v>432</v>
      </c>
      <c r="AU21" s="143" t="s">
        <v>433</v>
      </c>
      <c r="AV21" s="143" t="s">
        <v>421</v>
      </c>
      <c r="AW21" s="148"/>
      <c r="AX21" s="148"/>
      <c r="AY21" s="143"/>
      <c r="AZ21" s="143"/>
      <c r="BA21" s="143"/>
      <c r="BB21" s="143" t="s">
        <v>422</v>
      </c>
      <c r="BC21" s="142">
        <v>0</v>
      </c>
      <c r="BD21" s="142">
        <v>0</v>
      </c>
      <c r="BE21" s="142">
        <v>0</v>
      </c>
      <c r="BF21" s="142">
        <v>0</v>
      </c>
      <c r="BG21" s="142">
        <v>0.3</v>
      </c>
      <c r="BH21" s="142">
        <v>1.42</v>
      </c>
      <c r="BI21" s="142">
        <v>0.40500000000000003</v>
      </c>
      <c r="BJ21" s="142">
        <v>0</v>
      </c>
      <c r="BK21" s="142">
        <v>0.70599999999999996</v>
      </c>
      <c r="BL21" s="142">
        <v>0</v>
      </c>
      <c r="BM21" s="142">
        <v>0</v>
      </c>
      <c r="BN21" s="142">
        <v>0.1</v>
      </c>
      <c r="BO21" s="142">
        <v>0</v>
      </c>
      <c r="BP21" s="142">
        <v>0</v>
      </c>
      <c r="BQ21" s="142">
        <v>1.097</v>
      </c>
      <c r="BR21" s="142">
        <v>0.79400000000000004</v>
      </c>
      <c r="BS21" s="142">
        <v>0.30299999999999999</v>
      </c>
      <c r="BT21" s="142">
        <v>1.4</v>
      </c>
      <c r="BU21" s="142">
        <v>11.6</v>
      </c>
      <c r="BV21" s="142">
        <v>1.4</v>
      </c>
      <c r="BW21" s="143" t="s">
        <v>419</v>
      </c>
    </row>
    <row r="22" spans="5:75">
      <c r="E22" s="143" t="s">
        <v>344</v>
      </c>
      <c r="F22" s="143" t="s">
        <v>423</v>
      </c>
      <c r="G22" s="143" t="s">
        <v>424</v>
      </c>
      <c r="H22" s="143" t="s">
        <v>425</v>
      </c>
      <c r="I22" s="144" t="s">
        <v>470</v>
      </c>
      <c r="J22" s="144"/>
      <c r="K22" s="144"/>
      <c r="L22" s="144"/>
      <c r="M22" s="145">
        <v>4353</v>
      </c>
      <c r="N22" s="146">
        <v>1400</v>
      </c>
      <c r="O22" s="142" t="s">
        <v>471</v>
      </c>
      <c r="P22" s="143" t="s">
        <v>37</v>
      </c>
      <c r="Q22" s="143" t="s">
        <v>428</v>
      </c>
      <c r="R22" s="147">
        <v>1067</v>
      </c>
      <c r="S22" s="146">
        <v>1801.73</v>
      </c>
      <c r="T22" s="148">
        <v>40452</v>
      </c>
      <c r="U22" s="149"/>
      <c r="V22" s="150">
        <v>7</v>
      </c>
      <c r="W22" s="143" t="s">
        <v>429</v>
      </c>
      <c r="X22" s="143"/>
      <c r="Y22" s="143"/>
      <c r="Z22" s="143"/>
      <c r="AA22" s="143"/>
      <c r="AB22" s="143"/>
      <c r="AC22" s="143"/>
      <c r="AD22" s="143" t="s">
        <v>470</v>
      </c>
      <c r="AE22" s="143"/>
      <c r="AF22" s="143" t="s">
        <v>416</v>
      </c>
      <c r="AG22" s="143"/>
      <c r="AH22" s="143"/>
      <c r="AI22" s="143"/>
      <c r="AJ22" s="143"/>
      <c r="AK22" s="143"/>
      <c r="AL22" s="143"/>
      <c r="AM22" s="143"/>
      <c r="AN22" s="143"/>
      <c r="AO22" s="143"/>
      <c r="AP22" s="143"/>
      <c r="AQ22" s="143" t="s">
        <v>430</v>
      </c>
      <c r="AR22" s="143" t="s">
        <v>39</v>
      </c>
      <c r="AS22" s="143" t="s">
        <v>431</v>
      </c>
      <c r="AT22" s="143" t="s">
        <v>432</v>
      </c>
      <c r="AU22" s="143" t="s">
        <v>433</v>
      </c>
      <c r="AV22" s="143" t="s">
        <v>421</v>
      </c>
      <c r="AW22" s="148"/>
      <c r="AX22" s="148"/>
      <c r="AY22" s="143"/>
      <c r="AZ22" s="143"/>
      <c r="BA22" s="143"/>
      <c r="BB22" s="143" t="s">
        <v>422</v>
      </c>
      <c r="BC22" s="142">
        <v>0</v>
      </c>
      <c r="BD22" s="142">
        <v>0</v>
      </c>
      <c r="BE22" s="142">
        <v>0</v>
      </c>
      <c r="BF22" s="142">
        <v>0</v>
      </c>
      <c r="BG22" s="142">
        <v>0.3</v>
      </c>
      <c r="BH22" s="142">
        <v>1.6559999999999999</v>
      </c>
      <c r="BI22" s="142">
        <v>0.40500000000000003</v>
      </c>
      <c r="BJ22" s="142">
        <v>0</v>
      </c>
      <c r="BK22" s="142">
        <v>0.66</v>
      </c>
      <c r="BL22" s="142">
        <v>0</v>
      </c>
      <c r="BM22" s="142">
        <v>0</v>
      </c>
      <c r="BN22" s="142">
        <v>0.1</v>
      </c>
      <c r="BO22" s="142">
        <v>0</v>
      </c>
      <c r="BP22" s="142">
        <v>0</v>
      </c>
      <c r="BQ22" s="142">
        <v>1.097</v>
      </c>
      <c r="BR22" s="142">
        <v>0.74299999999999999</v>
      </c>
      <c r="BS22" s="142">
        <v>0.35399999999999998</v>
      </c>
      <c r="BT22" s="142">
        <v>1.5</v>
      </c>
      <c r="BU22" s="142">
        <v>5.8</v>
      </c>
      <c r="BV22" s="142">
        <v>1.6</v>
      </c>
      <c r="BW22" s="143" t="s">
        <v>419</v>
      </c>
    </row>
    <row r="23" spans="5:75">
      <c r="E23" s="143" t="s">
        <v>344</v>
      </c>
      <c r="F23" s="143" t="s">
        <v>423</v>
      </c>
      <c r="G23" s="143" t="s">
        <v>424</v>
      </c>
      <c r="H23" s="143" t="s">
        <v>425</v>
      </c>
      <c r="I23" s="144" t="s">
        <v>472</v>
      </c>
      <c r="J23" s="144"/>
      <c r="K23" s="144"/>
      <c r="L23" s="144"/>
      <c r="M23" s="145">
        <v>4975</v>
      </c>
      <c r="N23" s="146">
        <v>1600</v>
      </c>
      <c r="O23" s="142" t="s">
        <v>473</v>
      </c>
      <c r="P23" s="143" t="s">
        <v>37</v>
      </c>
      <c r="Q23" s="143" t="s">
        <v>428</v>
      </c>
      <c r="R23" s="147">
        <v>231</v>
      </c>
      <c r="S23" s="146">
        <v>1999.06</v>
      </c>
      <c r="T23" s="148">
        <v>40452</v>
      </c>
      <c r="U23" s="149"/>
      <c r="V23" s="150">
        <v>7</v>
      </c>
      <c r="W23" s="143" t="s">
        <v>429</v>
      </c>
      <c r="X23" s="143"/>
      <c r="Y23" s="143"/>
      <c r="Z23" s="143"/>
      <c r="AA23" s="143"/>
      <c r="AB23" s="143"/>
      <c r="AC23" s="143"/>
      <c r="AD23" s="143" t="s">
        <v>472</v>
      </c>
      <c r="AE23" s="143"/>
      <c r="AF23" s="143" t="s">
        <v>416</v>
      </c>
      <c r="AG23" s="143"/>
      <c r="AH23" s="143"/>
      <c r="AI23" s="143"/>
      <c r="AJ23" s="143"/>
      <c r="AK23" s="143"/>
      <c r="AL23" s="143"/>
      <c r="AM23" s="143"/>
      <c r="AN23" s="143"/>
      <c r="AO23" s="143"/>
      <c r="AP23" s="143"/>
      <c r="AQ23" s="143" t="s">
        <v>430</v>
      </c>
      <c r="AR23" s="143" t="s">
        <v>39</v>
      </c>
      <c r="AS23" s="143" t="s">
        <v>431</v>
      </c>
      <c r="AT23" s="143" t="s">
        <v>432</v>
      </c>
      <c r="AU23" s="143" t="s">
        <v>433</v>
      </c>
      <c r="AV23" s="143" t="s">
        <v>421</v>
      </c>
      <c r="AW23" s="148"/>
      <c r="AX23" s="148"/>
      <c r="AY23" s="143"/>
      <c r="AZ23" s="143"/>
      <c r="BA23" s="143"/>
      <c r="BB23" s="143" t="s">
        <v>422</v>
      </c>
      <c r="BC23" s="142">
        <v>0</v>
      </c>
      <c r="BD23" s="142">
        <v>0</v>
      </c>
      <c r="BE23" s="142">
        <v>0</v>
      </c>
      <c r="BF23" s="142">
        <v>0</v>
      </c>
      <c r="BG23" s="142">
        <v>0.3</v>
      </c>
      <c r="BH23" s="142">
        <v>1.893</v>
      </c>
      <c r="BI23" s="142">
        <v>0.40500000000000003</v>
      </c>
      <c r="BJ23" s="142">
        <v>0</v>
      </c>
      <c r="BK23" s="142">
        <v>0.64100000000000001</v>
      </c>
      <c r="BL23" s="142">
        <v>0</v>
      </c>
      <c r="BM23" s="142">
        <v>0</v>
      </c>
      <c r="BN23" s="142">
        <v>0.1</v>
      </c>
      <c r="BO23" s="142">
        <v>0</v>
      </c>
      <c r="BP23" s="142">
        <v>0</v>
      </c>
      <c r="BQ23" s="142">
        <v>1.097</v>
      </c>
      <c r="BR23" s="142">
        <v>0.72099999999999997</v>
      </c>
      <c r="BS23" s="142">
        <v>0.376</v>
      </c>
      <c r="BT23" s="142">
        <v>1.5</v>
      </c>
      <c r="BU23" s="142">
        <v>3.4</v>
      </c>
      <c r="BV23" s="142">
        <v>1.9</v>
      </c>
      <c r="BW23" s="143" t="s">
        <v>419</v>
      </c>
    </row>
    <row r="24" spans="5:75">
      <c r="E24" s="143" t="s">
        <v>344</v>
      </c>
      <c r="F24" s="143" t="s">
        <v>423</v>
      </c>
      <c r="G24" s="143" t="s">
        <v>424</v>
      </c>
      <c r="H24" s="143" t="s">
        <v>425</v>
      </c>
      <c r="I24" s="144" t="s">
        <v>474</v>
      </c>
      <c r="J24" s="144"/>
      <c r="K24" s="144"/>
      <c r="L24" s="144"/>
      <c r="M24" s="145">
        <v>5597</v>
      </c>
      <c r="N24" s="146">
        <v>1800</v>
      </c>
      <c r="O24" s="142" t="s">
        <v>475</v>
      </c>
      <c r="P24" s="143" t="s">
        <v>37</v>
      </c>
      <c r="Q24" s="143" t="s">
        <v>428</v>
      </c>
      <c r="R24" s="147">
        <v>490</v>
      </c>
      <c r="S24" s="146">
        <v>2203.88</v>
      </c>
      <c r="T24" s="148">
        <v>40452</v>
      </c>
      <c r="U24" s="149"/>
      <c r="V24" s="150">
        <v>7</v>
      </c>
      <c r="W24" s="143" t="s">
        <v>429</v>
      </c>
      <c r="X24" s="143"/>
      <c r="Y24" s="143"/>
      <c r="Z24" s="143"/>
      <c r="AA24" s="143"/>
      <c r="AB24" s="143"/>
      <c r="AC24" s="143"/>
      <c r="AD24" s="143" t="s">
        <v>474</v>
      </c>
      <c r="AE24" s="143"/>
      <c r="AF24" s="143" t="s">
        <v>416</v>
      </c>
      <c r="AG24" s="143"/>
      <c r="AH24" s="143"/>
      <c r="AI24" s="143"/>
      <c r="AJ24" s="143"/>
      <c r="AK24" s="143"/>
      <c r="AL24" s="143"/>
      <c r="AM24" s="143"/>
      <c r="AN24" s="143"/>
      <c r="AO24" s="143"/>
      <c r="AP24" s="143"/>
      <c r="AQ24" s="143" t="s">
        <v>430</v>
      </c>
      <c r="AR24" s="143" t="s">
        <v>39</v>
      </c>
      <c r="AS24" s="143" t="s">
        <v>431</v>
      </c>
      <c r="AT24" s="143" t="s">
        <v>432</v>
      </c>
      <c r="AU24" s="143" t="s">
        <v>433</v>
      </c>
      <c r="AV24" s="143" t="s">
        <v>421</v>
      </c>
      <c r="AW24" s="148"/>
      <c r="AX24" s="148"/>
      <c r="AY24" s="143"/>
      <c r="AZ24" s="143"/>
      <c r="BA24" s="143"/>
      <c r="BB24" s="143" t="s">
        <v>422</v>
      </c>
      <c r="BC24" s="142">
        <v>0</v>
      </c>
      <c r="BD24" s="142">
        <v>0</v>
      </c>
      <c r="BE24" s="142">
        <v>0</v>
      </c>
      <c r="BF24" s="142">
        <v>0</v>
      </c>
      <c r="BG24" s="142">
        <v>0.3</v>
      </c>
      <c r="BH24" s="142">
        <v>2.13</v>
      </c>
      <c r="BI24" s="142">
        <v>0.40500000000000003</v>
      </c>
      <c r="BJ24" s="142">
        <v>0</v>
      </c>
      <c r="BK24" s="142">
        <v>0.628</v>
      </c>
      <c r="BL24" s="142">
        <v>0</v>
      </c>
      <c r="BM24" s="142">
        <v>0</v>
      </c>
      <c r="BN24" s="142">
        <v>0.1</v>
      </c>
      <c r="BO24" s="142">
        <v>0</v>
      </c>
      <c r="BP24" s="142">
        <v>0</v>
      </c>
      <c r="BQ24" s="142">
        <v>1.097</v>
      </c>
      <c r="BR24" s="142">
        <v>0.70699999999999996</v>
      </c>
      <c r="BS24" s="142">
        <v>0.39</v>
      </c>
      <c r="BT24" s="142">
        <v>1.6</v>
      </c>
      <c r="BU24" s="142">
        <v>1.7</v>
      </c>
      <c r="BV24" s="142">
        <v>2.1</v>
      </c>
      <c r="BW24" s="143" t="s">
        <v>419</v>
      </c>
    </row>
    <row r="25" spans="5:75">
      <c r="E25" s="143" t="s">
        <v>344</v>
      </c>
      <c r="F25" s="143" t="s">
        <v>423</v>
      </c>
      <c r="G25" s="143" t="s">
        <v>424</v>
      </c>
      <c r="H25" s="143" t="s">
        <v>425</v>
      </c>
      <c r="I25" s="144" t="s">
        <v>476</v>
      </c>
      <c r="J25" s="144"/>
      <c r="K25" s="144"/>
      <c r="L25" s="144"/>
      <c r="M25" s="145">
        <v>6219</v>
      </c>
      <c r="N25" s="146">
        <v>2000</v>
      </c>
      <c r="O25" s="142" t="s">
        <v>477</v>
      </c>
      <c r="P25" s="143" t="s">
        <v>37</v>
      </c>
      <c r="Q25" s="143" t="s">
        <v>428</v>
      </c>
      <c r="R25" s="147">
        <v>1123</v>
      </c>
      <c r="S25" s="146">
        <v>2375.1</v>
      </c>
      <c r="T25" s="148">
        <v>40452</v>
      </c>
      <c r="U25" s="149"/>
      <c r="V25" s="150">
        <v>7</v>
      </c>
      <c r="W25" s="143" t="s">
        <v>429</v>
      </c>
      <c r="X25" s="143"/>
      <c r="Y25" s="143"/>
      <c r="Z25" s="143"/>
      <c r="AA25" s="143"/>
      <c r="AB25" s="143"/>
      <c r="AC25" s="143"/>
      <c r="AD25" s="143" t="s">
        <v>476</v>
      </c>
      <c r="AE25" s="143"/>
      <c r="AF25" s="143" t="s">
        <v>416</v>
      </c>
      <c r="AG25" s="143"/>
      <c r="AH25" s="143"/>
      <c r="AI25" s="143"/>
      <c r="AJ25" s="143"/>
      <c r="AK25" s="143"/>
      <c r="AL25" s="143"/>
      <c r="AM25" s="143"/>
      <c r="AN25" s="143"/>
      <c r="AO25" s="143"/>
      <c r="AP25" s="143"/>
      <c r="AQ25" s="143" t="s">
        <v>430</v>
      </c>
      <c r="AR25" s="143" t="s">
        <v>39</v>
      </c>
      <c r="AS25" s="143" t="s">
        <v>431</v>
      </c>
      <c r="AT25" s="143" t="s">
        <v>432</v>
      </c>
      <c r="AU25" s="143" t="s">
        <v>433</v>
      </c>
      <c r="AV25" s="143" t="s">
        <v>421</v>
      </c>
      <c r="AW25" s="148"/>
      <c r="AX25" s="148"/>
      <c r="AY25" s="143"/>
      <c r="AZ25" s="143"/>
      <c r="BA25" s="143"/>
      <c r="BB25" s="143" t="s">
        <v>422</v>
      </c>
      <c r="BC25" s="142">
        <v>0</v>
      </c>
      <c r="BD25" s="142">
        <v>0</v>
      </c>
      <c r="BE25" s="142">
        <v>0</v>
      </c>
      <c r="BF25" s="142">
        <v>0</v>
      </c>
      <c r="BG25" s="142">
        <v>0.3</v>
      </c>
      <c r="BH25" s="142">
        <v>2.3660000000000001</v>
      </c>
      <c r="BI25" s="142">
        <v>0.40500000000000003</v>
      </c>
      <c r="BJ25" s="142">
        <v>0</v>
      </c>
      <c r="BK25" s="142">
        <v>0.60899999999999999</v>
      </c>
      <c r="BL25" s="142">
        <v>0</v>
      </c>
      <c r="BM25" s="142">
        <v>0</v>
      </c>
      <c r="BN25" s="142">
        <v>0.1</v>
      </c>
      <c r="BO25" s="142">
        <v>0</v>
      </c>
      <c r="BP25" s="142">
        <v>0</v>
      </c>
      <c r="BQ25" s="142">
        <v>1.097</v>
      </c>
      <c r="BR25" s="142">
        <v>0.68600000000000005</v>
      </c>
      <c r="BS25" s="142">
        <v>0.41099999999999998</v>
      </c>
      <c r="BT25" s="142">
        <v>1.6</v>
      </c>
      <c r="BU25" s="142">
        <v>-0.7</v>
      </c>
      <c r="BV25" s="142">
        <v>2.2999999999999998</v>
      </c>
      <c r="BW25" s="143" t="s">
        <v>419</v>
      </c>
    </row>
    <row r="26" spans="5:75">
      <c r="E26" s="143" t="s">
        <v>344</v>
      </c>
      <c r="F26" s="143" t="s">
        <v>423</v>
      </c>
      <c r="G26" s="143" t="s">
        <v>424</v>
      </c>
      <c r="H26" s="143" t="s">
        <v>425</v>
      </c>
      <c r="I26" s="144" t="s">
        <v>478</v>
      </c>
      <c r="J26" s="144"/>
      <c r="K26" s="144"/>
      <c r="L26" s="144"/>
      <c r="M26" s="145">
        <v>7773</v>
      </c>
      <c r="N26" s="146">
        <v>2500</v>
      </c>
      <c r="O26" s="142" t="s">
        <v>479</v>
      </c>
      <c r="P26" s="143" t="s">
        <v>37</v>
      </c>
      <c r="Q26" s="143" t="s">
        <v>428</v>
      </c>
      <c r="R26" s="147">
        <v>3057</v>
      </c>
      <c r="S26" s="146">
        <v>2837.23</v>
      </c>
      <c r="T26" s="148">
        <v>40452</v>
      </c>
      <c r="U26" s="149"/>
      <c r="V26" s="150">
        <v>7</v>
      </c>
      <c r="W26" s="143" t="s">
        <v>429</v>
      </c>
      <c r="X26" s="143"/>
      <c r="Y26" s="143"/>
      <c r="Z26" s="143"/>
      <c r="AA26" s="143"/>
      <c r="AB26" s="143"/>
      <c r="AC26" s="143"/>
      <c r="AD26" s="143" t="s">
        <v>478</v>
      </c>
      <c r="AE26" s="143"/>
      <c r="AF26" s="143" t="s">
        <v>416</v>
      </c>
      <c r="AG26" s="143"/>
      <c r="AH26" s="143"/>
      <c r="AI26" s="143"/>
      <c r="AJ26" s="143"/>
      <c r="AK26" s="143"/>
      <c r="AL26" s="143"/>
      <c r="AM26" s="143"/>
      <c r="AN26" s="143"/>
      <c r="AO26" s="143"/>
      <c r="AP26" s="143"/>
      <c r="AQ26" s="143" t="s">
        <v>430</v>
      </c>
      <c r="AR26" s="143" t="s">
        <v>39</v>
      </c>
      <c r="AS26" s="143" t="s">
        <v>431</v>
      </c>
      <c r="AT26" s="143" t="s">
        <v>432</v>
      </c>
      <c r="AU26" s="143" t="s">
        <v>433</v>
      </c>
      <c r="AV26" s="143" t="s">
        <v>421</v>
      </c>
      <c r="AW26" s="148"/>
      <c r="AX26" s="148"/>
      <c r="AY26" s="143"/>
      <c r="AZ26" s="143"/>
      <c r="BA26" s="143"/>
      <c r="BB26" s="143" t="s">
        <v>422</v>
      </c>
      <c r="BC26" s="142">
        <v>0</v>
      </c>
      <c r="BD26" s="142">
        <v>0</v>
      </c>
      <c r="BE26" s="142">
        <v>0</v>
      </c>
      <c r="BF26" s="142">
        <v>0</v>
      </c>
      <c r="BG26" s="142">
        <v>0.3</v>
      </c>
      <c r="BH26" s="142">
        <v>2.9580000000000002</v>
      </c>
      <c r="BI26" s="142">
        <v>0.40500000000000003</v>
      </c>
      <c r="BJ26" s="142">
        <v>0</v>
      </c>
      <c r="BK26" s="142">
        <v>0.58199999999999996</v>
      </c>
      <c r="BL26" s="142">
        <v>0</v>
      </c>
      <c r="BM26" s="142">
        <v>0</v>
      </c>
      <c r="BN26" s="142">
        <v>0.1</v>
      </c>
      <c r="BO26" s="142">
        <v>0</v>
      </c>
      <c r="BP26" s="142">
        <v>0</v>
      </c>
      <c r="BQ26" s="142">
        <v>1.097</v>
      </c>
      <c r="BR26" s="142">
        <v>0.65500000000000003</v>
      </c>
      <c r="BS26" s="142">
        <v>0.442</v>
      </c>
      <c r="BT26" s="142">
        <v>1.7</v>
      </c>
      <c r="BU26" s="142">
        <v>-4.0999999999999996</v>
      </c>
      <c r="BV26" s="142">
        <v>2.9</v>
      </c>
      <c r="BW26" s="143" t="s">
        <v>419</v>
      </c>
    </row>
    <row r="27" spans="5:75">
      <c r="E27" s="143" t="s">
        <v>344</v>
      </c>
      <c r="F27" s="143" t="s">
        <v>423</v>
      </c>
      <c r="G27" s="143" t="s">
        <v>424</v>
      </c>
      <c r="H27" s="143" t="s">
        <v>425</v>
      </c>
      <c r="I27" s="144" t="s">
        <v>480</v>
      </c>
      <c r="J27" s="144"/>
      <c r="K27" s="144"/>
      <c r="L27" s="144"/>
      <c r="M27" s="145">
        <v>9328</v>
      </c>
      <c r="N27" s="146">
        <v>3000</v>
      </c>
      <c r="O27" s="142" t="s">
        <v>481</v>
      </c>
      <c r="P27" s="143" t="s">
        <v>37</v>
      </c>
      <c r="Q27" s="143" t="s">
        <v>428</v>
      </c>
      <c r="R27" s="147">
        <v>3552</v>
      </c>
      <c r="S27" s="146">
        <v>3250.13</v>
      </c>
      <c r="T27" s="148">
        <v>40452</v>
      </c>
      <c r="U27" s="149"/>
      <c r="V27" s="150">
        <v>7</v>
      </c>
      <c r="W27" s="143" t="s">
        <v>429</v>
      </c>
      <c r="X27" s="143"/>
      <c r="Y27" s="143"/>
      <c r="Z27" s="143"/>
      <c r="AA27" s="143"/>
      <c r="AB27" s="143"/>
      <c r="AC27" s="143"/>
      <c r="AD27" s="143" t="s">
        <v>480</v>
      </c>
      <c r="AE27" s="143"/>
      <c r="AF27" s="143" t="s">
        <v>416</v>
      </c>
      <c r="AG27" s="143"/>
      <c r="AH27" s="143"/>
      <c r="AI27" s="143"/>
      <c r="AJ27" s="143"/>
      <c r="AK27" s="143"/>
      <c r="AL27" s="143"/>
      <c r="AM27" s="143"/>
      <c r="AN27" s="143"/>
      <c r="AO27" s="143"/>
      <c r="AP27" s="143"/>
      <c r="AQ27" s="143" t="s">
        <v>430</v>
      </c>
      <c r="AR27" s="143" t="s">
        <v>39</v>
      </c>
      <c r="AS27" s="143" t="s">
        <v>431</v>
      </c>
      <c r="AT27" s="143" t="s">
        <v>432</v>
      </c>
      <c r="AU27" s="143" t="s">
        <v>433</v>
      </c>
      <c r="AV27" s="143" t="s">
        <v>421</v>
      </c>
      <c r="AW27" s="148"/>
      <c r="AX27" s="148"/>
      <c r="AY27" s="143"/>
      <c r="AZ27" s="143"/>
      <c r="BA27" s="143"/>
      <c r="BB27" s="143" t="s">
        <v>422</v>
      </c>
      <c r="BC27" s="142">
        <v>0</v>
      </c>
      <c r="BD27" s="142">
        <v>0</v>
      </c>
      <c r="BE27" s="142">
        <v>0</v>
      </c>
      <c r="BF27" s="142">
        <v>0</v>
      </c>
      <c r="BG27" s="142">
        <v>0.3</v>
      </c>
      <c r="BH27" s="142">
        <v>3.5489999999999999</v>
      </c>
      <c r="BI27" s="142">
        <v>0.40500000000000003</v>
      </c>
      <c r="BJ27" s="142">
        <v>0</v>
      </c>
      <c r="BK27" s="142">
        <v>0.55600000000000005</v>
      </c>
      <c r="BL27" s="142">
        <v>0</v>
      </c>
      <c r="BM27" s="142">
        <v>0</v>
      </c>
      <c r="BN27" s="142">
        <v>0.1</v>
      </c>
      <c r="BO27" s="142">
        <v>0</v>
      </c>
      <c r="BP27" s="142">
        <v>0</v>
      </c>
      <c r="BQ27" s="142">
        <v>1.097</v>
      </c>
      <c r="BR27" s="142">
        <v>0.625</v>
      </c>
      <c r="BS27" s="142">
        <v>0.47199999999999998</v>
      </c>
      <c r="BT27" s="142">
        <v>1.8</v>
      </c>
      <c r="BU27" s="142">
        <v>-7.4</v>
      </c>
      <c r="BV27" s="142">
        <v>3.5</v>
      </c>
      <c r="BW27" s="143" t="s">
        <v>419</v>
      </c>
    </row>
    <row r="28" spans="5:75">
      <c r="E28" s="143" t="s">
        <v>344</v>
      </c>
      <c r="F28" s="143" t="s">
        <v>423</v>
      </c>
      <c r="G28" s="143" t="s">
        <v>424</v>
      </c>
      <c r="H28" s="143" t="s">
        <v>425</v>
      </c>
      <c r="I28" s="144" t="s">
        <v>482</v>
      </c>
      <c r="J28" s="144"/>
      <c r="K28" s="144"/>
      <c r="L28" s="144"/>
      <c r="M28" s="145">
        <v>10883</v>
      </c>
      <c r="N28" s="146">
        <v>3500</v>
      </c>
      <c r="O28" s="142" t="s">
        <v>483</v>
      </c>
      <c r="P28" s="143" t="s">
        <v>37</v>
      </c>
      <c r="Q28" s="143" t="s">
        <v>428</v>
      </c>
      <c r="R28" s="147">
        <v>1500</v>
      </c>
      <c r="S28" s="146">
        <v>3709.54</v>
      </c>
      <c r="T28" s="148">
        <v>40452</v>
      </c>
      <c r="U28" s="149"/>
      <c r="V28" s="150">
        <v>7</v>
      </c>
      <c r="W28" s="143" t="s">
        <v>429</v>
      </c>
      <c r="X28" s="143"/>
      <c r="Y28" s="143"/>
      <c r="Z28" s="143"/>
      <c r="AA28" s="143"/>
      <c r="AB28" s="143"/>
      <c r="AC28" s="143"/>
      <c r="AD28" s="143" t="s">
        <v>482</v>
      </c>
      <c r="AE28" s="143"/>
      <c r="AF28" s="143" t="s">
        <v>416</v>
      </c>
      <c r="AG28" s="143"/>
      <c r="AH28" s="143"/>
      <c r="AI28" s="143"/>
      <c r="AJ28" s="143"/>
      <c r="AK28" s="143"/>
      <c r="AL28" s="143"/>
      <c r="AM28" s="143"/>
      <c r="AN28" s="143"/>
      <c r="AO28" s="143"/>
      <c r="AP28" s="143"/>
      <c r="AQ28" s="143" t="s">
        <v>430</v>
      </c>
      <c r="AR28" s="143" t="s">
        <v>39</v>
      </c>
      <c r="AS28" s="143" t="s">
        <v>431</v>
      </c>
      <c r="AT28" s="143" t="s">
        <v>432</v>
      </c>
      <c r="AU28" s="143" t="s">
        <v>433</v>
      </c>
      <c r="AV28" s="143" t="s">
        <v>421</v>
      </c>
      <c r="AW28" s="148"/>
      <c r="AX28" s="148"/>
      <c r="AY28" s="143"/>
      <c r="AZ28" s="143"/>
      <c r="BA28" s="143"/>
      <c r="BB28" s="143" t="s">
        <v>422</v>
      </c>
      <c r="BC28" s="142">
        <v>0</v>
      </c>
      <c r="BD28" s="142">
        <v>0</v>
      </c>
      <c r="BE28" s="142">
        <v>0</v>
      </c>
      <c r="BF28" s="142">
        <v>0</v>
      </c>
      <c r="BG28" s="142">
        <v>0.3</v>
      </c>
      <c r="BH28" s="142">
        <v>4.141</v>
      </c>
      <c r="BI28" s="142">
        <v>0.40500000000000003</v>
      </c>
      <c r="BJ28" s="142">
        <v>0</v>
      </c>
      <c r="BK28" s="142">
        <v>0.54400000000000004</v>
      </c>
      <c r="BL28" s="142">
        <v>0</v>
      </c>
      <c r="BM28" s="142">
        <v>0</v>
      </c>
      <c r="BN28" s="142">
        <v>0.1</v>
      </c>
      <c r="BO28" s="142">
        <v>0</v>
      </c>
      <c r="BP28" s="142">
        <v>0</v>
      </c>
      <c r="BQ28" s="142">
        <v>1.097</v>
      </c>
      <c r="BR28" s="142">
        <v>0.61199999999999999</v>
      </c>
      <c r="BS28" s="142">
        <v>0.48499999999999999</v>
      </c>
      <c r="BT28" s="142">
        <v>1.8</v>
      </c>
      <c r="BU28" s="142">
        <v>-9</v>
      </c>
      <c r="BV28" s="142">
        <v>4.0999999999999996</v>
      </c>
      <c r="BW28" s="143" t="s">
        <v>419</v>
      </c>
    </row>
    <row r="29" spans="5:75">
      <c r="E29" s="143" t="s">
        <v>344</v>
      </c>
      <c r="F29" s="143" t="s">
        <v>423</v>
      </c>
      <c r="G29" s="143" t="s">
        <v>424</v>
      </c>
      <c r="H29" s="143" t="s">
        <v>425</v>
      </c>
      <c r="I29" s="144" t="s">
        <v>484</v>
      </c>
      <c r="J29" s="144"/>
      <c r="K29" s="144"/>
      <c r="L29" s="144"/>
      <c r="M29" s="145">
        <v>12437</v>
      </c>
      <c r="N29" s="146">
        <v>4000</v>
      </c>
      <c r="O29" s="142" t="s">
        <v>485</v>
      </c>
      <c r="P29" s="143" t="s">
        <v>37</v>
      </c>
      <c r="Q29" s="143" t="s">
        <v>428</v>
      </c>
      <c r="R29" s="147">
        <v>1500</v>
      </c>
      <c r="S29" s="146">
        <v>4161.1899999999996</v>
      </c>
      <c r="T29" s="148">
        <v>40452</v>
      </c>
      <c r="U29" s="149"/>
      <c r="V29" s="150">
        <v>7</v>
      </c>
      <c r="W29" s="143" t="s">
        <v>429</v>
      </c>
      <c r="X29" s="143"/>
      <c r="Y29" s="143"/>
      <c r="Z29" s="143"/>
      <c r="AA29" s="143"/>
      <c r="AB29" s="143"/>
      <c r="AC29" s="143"/>
      <c r="AD29" s="143" t="s">
        <v>484</v>
      </c>
      <c r="AE29" s="143"/>
      <c r="AF29" s="143" t="s">
        <v>416</v>
      </c>
      <c r="AG29" s="143"/>
      <c r="AH29" s="143"/>
      <c r="AI29" s="143"/>
      <c r="AJ29" s="143"/>
      <c r="AK29" s="143"/>
      <c r="AL29" s="143"/>
      <c r="AM29" s="143"/>
      <c r="AN29" s="143"/>
      <c r="AO29" s="143"/>
      <c r="AP29" s="143"/>
      <c r="AQ29" s="143" t="s">
        <v>430</v>
      </c>
      <c r="AR29" s="143" t="s">
        <v>39</v>
      </c>
      <c r="AS29" s="143" t="s">
        <v>431</v>
      </c>
      <c r="AT29" s="143" t="s">
        <v>432</v>
      </c>
      <c r="AU29" s="143" t="s">
        <v>433</v>
      </c>
      <c r="AV29" s="143" t="s">
        <v>421</v>
      </c>
      <c r="AW29" s="148"/>
      <c r="AX29" s="148"/>
      <c r="AY29" s="143"/>
      <c r="AZ29" s="143"/>
      <c r="BA29" s="143"/>
      <c r="BB29" s="143" t="s">
        <v>422</v>
      </c>
      <c r="BC29" s="142">
        <v>0</v>
      </c>
      <c r="BD29" s="142">
        <v>0</v>
      </c>
      <c r="BE29" s="142">
        <v>0</v>
      </c>
      <c r="BF29" s="142">
        <v>0</v>
      </c>
      <c r="BG29" s="142">
        <v>0.3</v>
      </c>
      <c r="BH29" s="142">
        <v>4.7329999999999997</v>
      </c>
      <c r="BI29" s="142">
        <v>0.40500000000000003</v>
      </c>
      <c r="BJ29" s="142">
        <v>0</v>
      </c>
      <c r="BK29" s="142">
        <v>0.53400000000000003</v>
      </c>
      <c r="BL29" s="142">
        <v>0</v>
      </c>
      <c r="BM29" s="142">
        <v>0</v>
      </c>
      <c r="BN29" s="142">
        <v>0.1</v>
      </c>
      <c r="BO29" s="142">
        <v>0</v>
      </c>
      <c r="BP29" s="142">
        <v>0</v>
      </c>
      <c r="BQ29" s="142">
        <v>1.097</v>
      </c>
      <c r="BR29" s="142">
        <v>0.60099999999999998</v>
      </c>
      <c r="BS29" s="142">
        <v>0.496</v>
      </c>
      <c r="BT29" s="142">
        <v>1.8</v>
      </c>
      <c r="BU29" s="142">
        <v>-10.199999999999999</v>
      </c>
      <c r="BV29" s="142">
        <v>4.7</v>
      </c>
      <c r="BW29" s="143" t="s">
        <v>419</v>
      </c>
    </row>
    <row r="30" spans="5:75">
      <c r="E30" s="143" t="s">
        <v>344</v>
      </c>
      <c r="F30" s="143" t="s">
        <v>423</v>
      </c>
      <c r="G30" s="143" t="s">
        <v>424</v>
      </c>
      <c r="H30" s="143" t="s">
        <v>425</v>
      </c>
      <c r="I30" s="144" t="s">
        <v>486</v>
      </c>
      <c r="J30" s="144"/>
      <c r="K30" s="144"/>
      <c r="L30" s="144"/>
      <c r="M30" s="145">
        <v>13992</v>
      </c>
      <c r="N30" s="146">
        <v>4500</v>
      </c>
      <c r="O30" s="142" t="s">
        <v>487</v>
      </c>
      <c r="P30" s="143" t="s">
        <v>37</v>
      </c>
      <c r="Q30" s="143" t="s">
        <v>428</v>
      </c>
      <c r="R30" s="147">
        <v>3711</v>
      </c>
      <c r="S30" s="146">
        <v>4533.29</v>
      </c>
      <c r="T30" s="148">
        <v>40452</v>
      </c>
      <c r="U30" s="149"/>
      <c r="V30" s="150">
        <v>7</v>
      </c>
      <c r="W30" s="143" t="s">
        <v>429</v>
      </c>
      <c r="X30" s="143"/>
      <c r="Y30" s="143"/>
      <c r="Z30" s="143"/>
      <c r="AA30" s="143"/>
      <c r="AB30" s="143"/>
      <c r="AC30" s="143"/>
      <c r="AD30" s="143" t="s">
        <v>486</v>
      </c>
      <c r="AE30" s="143"/>
      <c r="AF30" s="143" t="s">
        <v>416</v>
      </c>
      <c r="AG30" s="143"/>
      <c r="AH30" s="143"/>
      <c r="AI30" s="143"/>
      <c r="AJ30" s="143"/>
      <c r="AK30" s="143"/>
      <c r="AL30" s="143"/>
      <c r="AM30" s="143"/>
      <c r="AN30" s="143"/>
      <c r="AO30" s="143"/>
      <c r="AP30" s="143"/>
      <c r="AQ30" s="143" t="s">
        <v>430</v>
      </c>
      <c r="AR30" s="143" t="s">
        <v>39</v>
      </c>
      <c r="AS30" s="143" t="s">
        <v>431</v>
      </c>
      <c r="AT30" s="143" t="s">
        <v>432</v>
      </c>
      <c r="AU30" s="143" t="s">
        <v>433</v>
      </c>
      <c r="AV30" s="143" t="s">
        <v>421</v>
      </c>
      <c r="AW30" s="148"/>
      <c r="AX30" s="148"/>
      <c r="AY30" s="143"/>
      <c r="AZ30" s="143"/>
      <c r="BA30" s="143"/>
      <c r="BB30" s="143" t="s">
        <v>422</v>
      </c>
      <c r="BC30" s="142">
        <v>0</v>
      </c>
      <c r="BD30" s="142">
        <v>0</v>
      </c>
      <c r="BE30" s="142">
        <v>0</v>
      </c>
      <c r="BF30" s="142">
        <v>0</v>
      </c>
      <c r="BG30" s="142">
        <v>0.3</v>
      </c>
      <c r="BH30" s="142">
        <v>5.3239999999999998</v>
      </c>
      <c r="BI30" s="142">
        <v>0.40500000000000003</v>
      </c>
      <c r="BJ30" s="142">
        <v>0</v>
      </c>
      <c r="BK30" s="142">
        <v>0.51700000000000002</v>
      </c>
      <c r="BL30" s="142">
        <v>0</v>
      </c>
      <c r="BM30" s="142">
        <v>0</v>
      </c>
      <c r="BN30" s="142">
        <v>0.1</v>
      </c>
      <c r="BO30" s="142">
        <v>0</v>
      </c>
      <c r="BP30" s="142">
        <v>0</v>
      </c>
      <c r="BQ30" s="142">
        <v>1.097</v>
      </c>
      <c r="BR30" s="142">
        <v>0.58199999999999996</v>
      </c>
      <c r="BS30" s="142">
        <v>0.51500000000000001</v>
      </c>
      <c r="BT30" s="142">
        <v>1.9</v>
      </c>
      <c r="BU30" s="142">
        <v>-12.4</v>
      </c>
      <c r="BV30" s="142">
        <v>5.2</v>
      </c>
      <c r="BW30" s="143" t="s">
        <v>419</v>
      </c>
    </row>
    <row r="31" spans="5:75">
      <c r="E31" s="143" t="s">
        <v>344</v>
      </c>
      <c r="F31" s="143" t="s">
        <v>423</v>
      </c>
      <c r="G31" s="143" t="s">
        <v>424</v>
      </c>
      <c r="H31" s="143" t="s">
        <v>425</v>
      </c>
      <c r="I31" s="144" t="s">
        <v>488</v>
      </c>
      <c r="J31" s="144"/>
      <c r="K31" s="144"/>
      <c r="L31" s="144"/>
      <c r="M31" s="145">
        <v>15547</v>
      </c>
      <c r="N31" s="146">
        <v>5000</v>
      </c>
      <c r="O31" s="142" t="s">
        <v>489</v>
      </c>
      <c r="P31" s="143" t="s">
        <v>37</v>
      </c>
      <c r="Q31" s="143" t="s">
        <v>428</v>
      </c>
      <c r="R31" s="147">
        <v>3812</v>
      </c>
      <c r="S31" s="146">
        <v>4959.78</v>
      </c>
      <c r="T31" s="148">
        <v>40452</v>
      </c>
      <c r="U31" s="149"/>
      <c r="V31" s="150">
        <v>7</v>
      </c>
      <c r="W31" s="143" t="s">
        <v>429</v>
      </c>
      <c r="X31" s="143"/>
      <c r="Y31" s="143"/>
      <c r="Z31" s="143"/>
      <c r="AA31" s="143"/>
      <c r="AB31" s="143"/>
      <c r="AC31" s="143"/>
      <c r="AD31" s="143" t="s">
        <v>488</v>
      </c>
      <c r="AE31" s="143"/>
      <c r="AF31" s="143" t="s">
        <v>416</v>
      </c>
      <c r="AG31" s="143"/>
      <c r="AH31" s="143"/>
      <c r="AI31" s="143"/>
      <c r="AJ31" s="143"/>
      <c r="AK31" s="143"/>
      <c r="AL31" s="143"/>
      <c r="AM31" s="143"/>
      <c r="AN31" s="143"/>
      <c r="AO31" s="143"/>
      <c r="AP31" s="143"/>
      <c r="AQ31" s="143" t="s">
        <v>430</v>
      </c>
      <c r="AR31" s="143" t="s">
        <v>39</v>
      </c>
      <c r="AS31" s="143" t="s">
        <v>431</v>
      </c>
      <c r="AT31" s="143" t="s">
        <v>432</v>
      </c>
      <c r="AU31" s="143" t="s">
        <v>433</v>
      </c>
      <c r="AV31" s="143" t="s">
        <v>421</v>
      </c>
      <c r="AW31" s="148"/>
      <c r="AX31" s="148"/>
      <c r="AY31" s="143"/>
      <c r="AZ31" s="143"/>
      <c r="BA31" s="143"/>
      <c r="BB31" s="143" t="s">
        <v>422</v>
      </c>
      <c r="BC31" s="142">
        <v>0</v>
      </c>
      <c r="BD31" s="142">
        <v>0</v>
      </c>
      <c r="BE31" s="142">
        <v>0</v>
      </c>
      <c r="BF31" s="142">
        <v>0</v>
      </c>
      <c r="BG31" s="142">
        <v>0.3</v>
      </c>
      <c r="BH31" s="142">
        <v>5.9160000000000004</v>
      </c>
      <c r="BI31" s="142">
        <v>0.40500000000000003</v>
      </c>
      <c r="BJ31" s="142">
        <v>0</v>
      </c>
      <c r="BK31" s="142">
        <v>0.50900000000000001</v>
      </c>
      <c r="BL31" s="142">
        <v>0</v>
      </c>
      <c r="BM31" s="142">
        <v>0</v>
      </c>
      <c r="BN31" s="142">
        <v>0.1</v>
      </c>
      <c r="BO31" s="142">
        <v>0</v>
      </c>
      <c r="BP31" s="142">
        <v>0</v>
      </c>
      <c r="BQ31" s="142">
        <v>1.097</v>
      </c>
      <c r="BR31" s="142">
        <v>0.57299999999999995</v>
      </c>
      <c r="BS31" s="142">
        <v>0.52400000000000002</v>
      </c>
      <c r="BT31" s="142">
        <v>1.9</v>
      </c>
      <c r="BU31" s="142">
        <v>-13.4</v>
      </c>
      <c r="BV31" s="142">
        <v>5.8</v>
      </c>
      <c r="BW31" s="143" t="s">
        <v>419</v>
      </c>
    </row>
    <row r="32" spans="5:75">
      <c r="E32" s="143" t="s">
        <v>344</v>
      </c>
      <c r="F32" s="143" t="s">
        <v>423</v>
      </c>
      <c r="G32" s="143" t="s">
        <v>424</v>
      </c>
      <c r="H32" s="143" t="s">
        <v>425</v>
      </c>
      <c r="I32" s="144" t="s">
        <v>490</v>
      </c>
      <c r="J32" s="144"/>
      <c r="K32" s="144"/>
      <c r="L32" s="144"/>
      <c r="M32" s="145">
        <v>18656</v>
      </c>
      <c r="N32" s="146">
        <v>6000</v>
      </c>
      <c r="O32" s="142" t="s">
        <v>491</v>
      </c>
      <c r="P32" s="143" t="s">
        <v>37</v>
      </c>
      <c r="Q32" s="143" t="s">
        <v>428</v>
      </c>
      <c r="R32" s="147">
        <v>3965</v>
      </c>
      <c r="S32" s="146">
        <v>5798.9</v>
      </c>
      <c r="T32" s="148">
        <v>40452</v>
      </c>
      <c r="U32" s="149"/>
      <c r="V32" s="150">
        <v>7</v>
      </c>
      <c r="W32" s="143" t="s">
        <v>429</v>
      </c>
      <c r="X32" s="143"/>
      <c r="Y32" s="143"/>
      <c r="Z32" s="143"/>
      <c r="AA32" s="143"/>
      <c r="AB32" s="143"/>
      <c r="AC32" s="143"/>
      <c r="AD32" s="143" t="s">
        <v>490</v>
      </c>
      <c r="AE32" s="143"/>
      <c r="AF32" s="143" t="s">
        <v>416</v>
      </c>
      <c r="AG32" s="143"/>
      <c r="AH32" s="143"/>
      <c r="AI32" s="143"/>
      <c r="AJ32" s="143"/>
      <c r="AK32" s="143"/>
      <c r="AL32" s="143"/>
      <c r="AM32" s="143"/>
      <c r="AN32" s="143"/>
      <c r="AO32" s="143"/>
      <c r="AP32" s="143"/>
      <c r="AQ32" s="143" t="s">
        <v>430</v>
      </c>
      <c r="AR32" s="143" t="s">
        <v>39</v>
      </c>
      <c r="AS32" s="143" t="s">
        <v>431</v>
      </c>
      <c r="AT32" s="143" t="s">
        <v>432</v>
      </c>
      <c r="AU32" s="143" t="s">
        <v>433</v>
      </c>
      <c r="AV32" s="143" t="s">
        <v>421</v>
      </c>
      <c r="AW32" s="148"/>
      <c r="AX32" s="148"/>
      <c r="AY32" s="143"/>
      <c r="AZ32" s="143"/>
      <c r="BA32" s="143"/>
      <c r="BB32" s="143" t="s">
        <v>422</v>
      </c>
      <c r="BC32" s="142">
        <v>0</v>
      </c>
      <c r="BD32" s="142">
        <v>0</v>
      </c>
      <c r="BE32" s="142">
        <v>0</v>
      </c>
      <c r="BF32" s="142">
        <v>0</v>
      </c>
      <c r="BG32" s="142">
        <v>0.3</v>
      </c>
      <c r="BH32" s="142">
        <v>7.0990000000000002</v>
      </c>
      <c r="BI32" s="142">
        <v>0.40500000000000003</v>
      </c>
      <c r="BJ32" s="142">
        <v>0</v>
      </c>
      <c r="BK32" s="142">
        <v>0.496</v>
      </c>
      <c r="BL32" s="142">
        <v>0</v>
      </c>
      <c r="BM32" s="142">
        <v>0</v>
      </c>
      <c r="BN32" s="142">
        <v>0.1</v>
      </c>
      <c r="BO32" s="142">
        <v>0</v>
      </c>
      <c r="BP32" s="142">
        <v>0</v>
      </c>
      <c r="BQ32" s="142">
        <v>1.097</v>
      </c>
      <c r="BR32" s="142">
        <v>0.55800000000000005</v>
      </c>
      <c r="BS32" s="142">
        <v>0.53900000000000003</v>
      </c>
      <c r="BT32" s="142">
        <v>2</v>
      </c>
      <c r="BU32" s="142">
        <v>-15.1</v>
      </c>
      <c r="BV32" s="142">
        <v>7</v>
      </c>
      <c r="BW32" s="143" t="s">
        <v>419</v>
      </c>
    </row>
    <row r="33" spans="5:75">
      <c r="E33" s="143" t="s">
        <v>344</v>
      </c>
      <c r="F33" s="143" t="s">
        <v>423</v>
      </c>
      <c r="G33" s="143" t="s">
        <v>424</v>
      </c>
      <c r="H33" s="143" t="s">
        <v>425</v>
      </c>
      <c r="I33" s="144" t="s">
        <v>492</v>
      </c>
      <c r="J33" s="144"/>
      <c r="K33" s="144"/>
      <c r="L33" s="144"/>
      <c r="M33" s="145">
        <v>21765</v>
      </c>
      <c r="N33" s="146">
        <v>7000</v>
      </c>
      <c r="O33" s="142" t="s">
        <v>493</v>
      </c>
      <c r="P33" s="143" t="s">
        <v>37</v>
      </c>
      <c r="Q33" s="143" t="s">
        <v>428</v>
      </c>
      <c r="R33" s="147">
        <v>5641</v>
      </c>
      <c r="S33" s="146">
        <v>6408.05</v>
      </c>
      <c r="T33" s="148">
        <v>40452</v>
      </c>
      <c r="U33" s="149"/>
      <c r="V33" s="150">
        <v>7</v>
      </c>
      <c r="W33" s="143" t="s">
        <v>429</v>
      </c>
      <c r="X33" s="143"/>
      <c r="Y33" s="143"/>
      <c r="Z33" s="143"/>
      <c r="AA33" s="143"/>
      <c r="AB33" s="143"/>
      <c r="AC33" s="143"/>
      <c r="AD33" s="143" t="s">
        <v>492</v>
      </c>
      <c r="AE33" s="143"/>
      <c r="AF33" s="143" t="s">
        <v>416</v>
      </c>
      <c r="AG33" s="143"/>
      <c r="AH33" s="143"/>
      <c r="AI33" s="143"/>
      <c r="AJ33" s="143"/>
      <c r="AK33" s="143"/>
      <c r="AL33" s="143"/>
      <c r="AM33" s="143"/>
      <c r="AN33" s="143"/>
      <c r="AO33" s="143"/>
      <c r="AP33" s="143"/>
      <c r="AQ33" s="143" t="s">
        <v>430</v>
      </c>
      <c r="AR33" s="143" t="s">
        <v>39</v>
      </c>
      <c r="AS33" s="143" t="s">
        <v>431</v>
      </c>
      <c r="AT33" s="143" t="s">
        <v>432</v>
      </c>
      <c r="AU33" s="143" t="s">
        <v>433</v>
      </c>
      <c r="AV33" s="143" t="s">
        <v>421</v>
      </c>
      <c r="AW33" s="148"/>
      <c r="AX33" s="148"/>
      <c r="AY33" s="143"/>
      <c r="AZ33" s="143"/>
      <c r="BA33" s="143"/>
      <c r="BB33" s="143" t="s">
        <v>422</v>
      </c>
      <c r="BC33" s="142">
        <v>0</v>
      </c>
      <c r="BD33" s="142">
        <v>0</v>
      </c>
      <c r="BE33" s="142">
        <v>0</v>
      </c>
      <c r="BF33" s="142">
        <v>0</v>
      </c>
      <c r="BG33" s="142">
        <v>0.3</v>
      </c>
      <c r="BH33" s="142">
        <v>8.282</v>
      </c>
      <c r="BI33" s="142">
        <v>0.40500000000000003</v>
      </c>
      <c r="BJ33" s="142">
        <v>0</v>
      </c>
      <c r="BK33" s="142">
        <v>0.47</v>
      </c>
      <c r="BL33" s="142">
        <v>0</v>
      </c>
      <c r="BM33" s="142">
        <v>0</v>
      </c>
      <c r="BN33" s="142">
        <v>0.1</v>
      </c>
      <c r="BO33" s="142">
        <v>0</v>
      </c>
      <c r="BP33" s="142">
        <v>0</v>
      </c>
      <c r="BQ33" s="142">
        <v>1.097</v>
      </c>
      <c r="BR33" s="142">
        <v>0.52800000000000002</v>
      </c>
      <c r="BS33" s="142">
        <v>0.56899999999999995</v>
      </c>
      <c r="BT33" s="142">
        <v>2.1</v>
      </c>
      <c r="BU33" s="142">
        <v>-18.399999999999999</v>
      </c>
      <c r="BV33" s="142">
        <v>8.1</v>
      </c>
      <c r="BW33" s="143" t="s">
        <v>419</v>
      </c>
    </row>
    <row r="34" spans="5:75">
      <c r="E34" s="143" t="s">
        <v>344</v>
      </c>
      <c r="F34" s="143" t="s">
        <v>423</v>
      </c>
      <c r="G34" s="143" t="s">
        <v>424</v>
      </c>
      <c r="H34" s="143" t="s">
        <v>425</v>
      </c>
      <c r="I34" s="144" t="s">
        <v>494</v>
      </c>
      <c r="J34" s="144"/>
      <c r="K34" s="144"/>
      <c r="L34" s="144"/>
      <c r="M34" s="145">
        <v>24875</v>
      </c>
      <c r="N34" s="146">
        <v>8000</v>
      </c>
      <c r="O34" s="142" t="s">
        <v>495</v>
      </c>
      <c r="P34" s="143" t="s">
        <v>37</v>
      </c>
      <c r="Q34" s="143" t="s">
        <v>428</v>
      </c>
      <c r="R34" s="147">
        <v>5742</v>
      </c>
      <c r="S34" s="146">
        <v>7154.28</v>
      </c>
      <c r="T34" s="148">
        <v>40452</v>
      </c>
      <c r="U34" s="149"/>
      <c r="V34" s="150">
        <v>7</v>
      </c>
      <c r="W34" s="143" t="s">
        <v>429</v>
      </c>
      <c r="X34" s="143"/>
      <c r="Y34" s="143"/>
      <c r="Z34" s="143"/>
      <c r="AA34" s="143"/>
      <c r="AB34" s="143"/>
      <c r="AC34" s="143"/>
      <c r="AD34" s="143" t="s">
        <v>494</v>
      </c>
      <c r="AE34" s="143"/>
      <c r="AF34" s="143" t="s">
        <v>416</v>
      </c>
      <c r="AG34" s="143"/>
      <c r="AH34" s="143"/>
      <c r="AI34" s="143"/>
      <c r="AJ34" s="143"/>
      <c r="AK34" s="143"/>
      <c r="AL34" s="143"/>
      <c r="AM34" s="143"/>
      <c r="AN34" s="143"/>
      <c r="AO34" s="143"/>
      <c r="AP34" s="143"/>
      <c r="AQ34" s="143" t="s">
        <v>430</v>
      </c>
      <c r="AR34" s="143" t="s">
        <v>39</v>
      </c>
      <c r="AS34" s="143" t="s">
        <v>431</v>
      </c>
      <c r="AT34" s="143" t="s">
        <v>432</v>
      </c>
      <c r="AU34" s="143" t="s">
        <v>433</v>
      </c>
      <c r="AV34" s="143" t="s">
        <v>421</v>
      </c>
      <c r="AW34" s="148"/>
      <c r="AX34" s="148"/>
      <c r="AY34" s="143"/>
      <c r="AZ34" s="143"/>
      <c r="BA34" s="143"/>
      <c r="BB34" s="143" t="s">
        <v>422</v>
      </c>
      <c r="BC34" s="142">
        <v>0</v>
      </c>
      <c r="BD34" s="142">
        <v>0</v>
      </c>
      <c r="BE34" s="142">
        <v>0</v>
      </c>
      <c r="BF34" s="142">
        <v>0</v>
      </c>
      <c r="BG34" s="142">
        <v>0.3</v>
      </c>
      <c r="BH34" s="142">
        <v>9.4649999999999999</v>
      </c>
      <c r="BI34" s="142">
        <v>0.40500000000000003</v>
      </c>
      <c r="BJ34" s="142">
        <v>0</v>
      </c>
      <c r="BK34" s="142">
        <v>0.45900000000000002</v>
      </c>
      <c r="BL34" s="142">
        <v>0</v>
      </c>
      <c r="BM34" s="142">
        <v>0</v>
      </c>
      <c r="BN34" s="142">
        <v>0.1</v>
      </c>
      <c r="BO34" s="142">
        <v>0</v>
      </c>
      <c r="BP34" s="142">
        <v>0</v>
      </c>
      <c r="BQ34" s="142">
        <v>1.097</v>
      </c>
      <c r="BR34" s="142">
        <v>0.51600000000000001</v>
      </c>
      <c r="BS34" s="142">
        <v>0.58099999999999996</v>
      </c>
      <c r="BT34" s="142">
        <v>2.1</v>
      </c>
      <c r="BU34" s="142">
        <v>-19.8</v>
      </c>
      <c r="BV34" s="142">
        <v>9.3000000000000007</v>
      </c>
      <c r="BW34" s="143" t="s">
        <v>419</v>
      </c>
    </row>
    <row r="35" spans="5:75">
      <c r="E35" s="143" t="s">
        <v>344</v>
      </c>
      <c r="F35" s="143" t="s">
        <v>423</v>
      </c>
      <c r="G35" s="143" t="s">
        <v>424</v>
      </c>
      <c r="H35" s="143" t="s">
        <v>425</v>
      </c>
      <c r="I35" s="144" t="s">
        <v>496</v>
      </c>
      <c r="J35" s="144"/>
      <c r="K35" s="144"/>
      <c r="L35" s="144"/>
      <c r="M35" s="145">
        <v>27984</v>
      </c>
      <c r="N35" s="146">
        <v>9000</v>
      </c>
      <c r="O35" s="142" t="s">
        <v>497</v>
      </c>
      <c r="P35" s="143" t="s">
        <v>37</v>
      </c>
      <c r="Q35" s="143" t="s">
        <v>428</v>
      </c>
      <c r="R35" s="147">
        <v>5895</v>
      </c>
      <c r="S35" s="146">
        <v>7710.11</v>
      </c>
      <c r="T35" s="148">
        <v>40452</v>
      </c>
      <c r="U35" s="149"/>
      <c r="V35" s="150">
        <v>7</v>
      </c>
      <c r="W35" s="143" t="s">
        <v>429</v>
      </c>
      <c r="X35" s="143"/>
      <c r="Y35" s="143"/>
      <c r="Z35" s="143"/>
      <c r="AA35" s="143"/>
      <c r="AB35" s="143"/>
      <c r="AC35" s="143"/>
      <c r="AD35" s="143" t="s">
        <v>496</v>
      </c>
      <c r="AE35" s="143"/>
      <c r="AF35" s="143" t="s">
        <v>416</v>
      </c>
      <c r="AG35" s="143"/>
      <c r="AH35" s="143"/>
      <c r="AI35" s="143"/>
      <c r="AJ35" s="143"/>
      <c r="AK35" s="143"/>
      <c r="AL35" s="143"/>
      <c r="AM35" s="143"/>
      <c r="AN35" s="143"/>
      <c r="AO35" s="143"/>
      <c r="AP35" s="143"/>
      <c r="AQ35" s="143" t="s">
        <v>430</v>
      </c>
      <c r="AR35" s="143" t="s">
        <v>39</v>
      </c>
      <c r="AS35" s="143" t="s">
        <v>431</v>
      </c>
      <c r="AT35" s="143" t="s">
        <v>432</v>
      </c>
      <c r="AU35" s="143" t="s">
        <v>433</v>
      </c>
      <c r="AV35" s="143" t="s">
        <v>421</v>
      </c>
      <c r="AW35" s="148"/>
      <c r="AX35" s="148"/>
      <c r="AY35" s="143"/>
      <c r="AZ35" s="143"/>
      <c r="BA35" s="143"/>
      <c r="BB35" s="143" t="s">
        <v>422</v>
      </c>
      <c r="BC35" s="142">
        <v>0</v>
      </c>
      <c r="BD35" s="142">
        <v>0</v>
      </c>
      <c r="BE35" s="142">
        <v>0</v>
      </c>
      <c r="BF35" s="142">
        <v>0</v>
      </c>
      <c r="BG35" s="142">
        <v>0.3</v>
      </c>
      <c r="BH35" s="142">
        <v>10.648</v>
      </c>
      <c r="BI35" s="142">
        <v>0.40500000000000003</v>
      </c>
      <c r="BJ35" s="142">
        <v>0</v>
      </c>
      <c r="BK35" s="142">
        <v>0.439</v>
      </c>
      <c r="BL35" s="142">
        <v>0</v>
      </c>
      <c r="BM35" s="142">
        <v>0</v>
      </c>
      <c r="BN35" s="142">
        <v>0.1</v>
      </c>
      <c r="BO35" s="142">
        <v>0</v>
      </c>
      <c r="BP35" s="142">
        <v>0</v>
      </c>
      <c r="BQ35" s="142">
        <v>1.097</v>
      </c>
      <c r="BR35" s="142">
        <v>0.495</v>
      </c>
      <c r="BS35" s="142">
        <v>0.60199999999999998</v>
      </c>
      <c r="BT35" s="142">
        <v>2.2000000000000002</v>
      </c>
      <c r="BU35" s="142">
        <v>-22.2</v>
      </c>
      <c r="BV35" s="142">
        <v>10.5</v>
      </c>
      <c r="BW35" s="143" t="s">
        <v>419</v>
      </c>
    </row>
    <row r="36" spans="5:75">
      <c r="E36" s="143" t="s">
        <v>344</v>
      </c>
      <c r="F36" s="143" t="s">
        <v>423</v>
      </c>
      <c r="G36" s="143" t="s">
        <v>424</v>
      </c>
      <c r="H36" s="143" t="s">
        <v>425</v>
      </c>
      <c r="I36" s="144" t="s">
        <v>498</v>
      </c>
      <c r="J36" s="144"/>
      <c r="K36" s="144"/>
      <c r="L36" s="144"/>
      <c r="M36" s="145">
        <v>31093</v>
      </c>
      <c r="N36" s="146">
        <v>10000</v>
      </c>
      <c r="O36" s="142" t="s">
        <v>499</v>
      </c>
      <c r="P36" s="143" t="s">
        <v>37</v>
      </c>
      <c r="Q36" s="143" t="s">
        <v>428</v>
      </c>
      <c r="R36" s="147">
        <v>6226</v>
      </c>
      <c r="S36" s="146">
        <v>8230.18</v>
      </c>
      <c r="T36" s="148">
        <v>40452</v>
      </c>
      <c r="U36" s="149"/>
      <c r="V36" s="150">
        <v>7</v>
      </c>
      <c r="W36" s="143" t="s">
        <v>429</v>
      </c>
      <c r="X36" s="143"/>
      <c r="Y36" s="143"/>
      <c r="Z36" s="143"/>
      <c r="AA36" s="143"/>
      <c r="AB36" s="143"/>
      <c r="AC36" s="143"/>
      <c r="AD36" s="143" t="s">
        <v>498</v>
      </c>
      <c r="AE36" s="143"/>
      <c r="AF36" s="143" t="s">
        <v>416</v>
      </c>
      <c r="AG36" s="143"/>
      <c r="AH36" s="143"/>
      <c r="AI36" s="143"/>
      <c r="AJ36" s="143"/>
      <c r="AK36" s="143"/>
      <c r="AL36" s="143"/>
      <c r="AM36" s="143"/>
      <c r="AN36" s="143"/>
      <c r="AO36" s="143"/>
      <c r="AP36" s="143"/>
      <c r="AQ36" s="143" t="s">
        <v>430</v>
      </c>
      <c r="AR36" s="143" t="s">
        <v>39</v>
      </c>
      <c r="AS36" s="143" t="s">
        <v>431</v>
      </c>
      <c r="AT36" s="143" t="s">
        <v>432</v>
      </c>
      <c r="AU36" s="143" t="s">
        <v>433</v>
      </c>
      <c r="AV36" s="143" t="s">
        <v>421</v>
      </c>
      <c r="AW36" s="148"/>
      <c r="AX36" s="148"/>
      <c r="AY36" s="143"/>
      <c r="AZ36" s="143"/>
      <c r="BA36" s="143"/>
      <c r="BB36" s="143" t="s">
        <v>422</v>
      </c>
      <c r="BC36" s="142">
        <v>0</v>
      </c>
      <c r="BD36" s="142">
        <v>0</v>
      </c>
      <c r="BE36" s="142">
        <v>0</v>
      </c>
      <c r="BF36" s="142">
        <v>0</v>
      </c>
      <c r="BG36" s="142">
        <v>0.3</v>
      </c>
      <c r="BH36" s="142">
        <v>11.832000000000001</v>
      </c>
      <c r="BI36" s="142">
        <v>0.40500000000000003</v>
      </c>
      <c r="BJ36" s="142">
        <v>0</v>
      </c>
      <c r="BK36" s="142">
        <v>0.42199999999999999</v>
      </c>
      <c r="BL36" s="142">
        <v>0</v>
      </c>
      <c r="BM36" s="142">
        <v>0</v>
      </c>
      <c r="BN36" s="142">
        <v>0.1</v>
      </c>
      <c r="BO36" s="142">
        <v>0</v>
      </c>
      <c r="BP36" s="142">
        <v>0</v>
      </c>
      <c r="BQ36" s="142">
        <v>1.097</v>
      </c>
      <c r="BR36" s="142">
        <v>0.47499999999999998</v>
      </c>
      <c r="BS36" s="142">
        <v>0.622</v>
      </c>
      <c r="BT36" s="142">
        <v>2.2999999999999998</v>
      </c>
      <c r="BU36" s="142">
        <v>-24.4</v>
      </c>
      <c r="BV36" s="142">
        <v>11.6</v>
      </c>
      <c r="BW36" s="143" t="s">
        <v>419</v>
      </c>
    </row>
    <row r="37" spans="5:75">
      <c r="E37" s="143" t="s">
        <v>344</v>
      </c>
      <c r="F37" s="143" t="s">
        <v>423</v>
      </c>
      <c r="G37" s="143" t="s">
        <v>424</v>
      </c>
      <c r="H37" s="143" t="s">
        <v>500</v>
      </c>
      <c r="I37" s="144" t="s">
        <v>501</v>
      </c>
      <c r="J37" s="144" t="s">
        <v>502</v>
      </c>
      <c r="K37" s="144" t="s">
        <v>436</v>
      </c>
      <c r="L37" s="144" t="s">
        <v>503</v>
      </c>
      <c r="M37" s="145">
        <v>1517.9999989999999</v>
      </c>
      <c r="N37" s="146">
        <v>375</v>
      </c>
      <c r="O37" s="142" t="s">
        <v>504</v>
      </c>
      <c r="P37" s="143" t="s">
        <v>420</v>
      </c>
      <c r="Q37" s="143" t="s">
        <v>428</v>
      </c>
      <c r="R37" s="147">
        <v>1410.4529607433301</v>
      </c>
      <c r="S37" s="146">
        <v>707.31</v>
      </c>
      <c r="T37" s="148">
        <v>40269</v>
      </c>
      <c r="U37" s="149"/>
      <c r="V37" s="150">
        <v>15</v>
      </c>
      <c r="W37" s="143" t="s">
        <v>505</v>
      </c>
      <c r="X37" s="143"/>
      <c r="Y37" s="143" t="s">
        <v>501</v>
      </c>
      <c r="Z37" s="143" t="s">
        <v>502</v>
      </c>
      <c r="AA37" s="143"/>
      <c r="AB37" s="143"/>
      <c r="AC37" s="143"/>
      <c r="AD37" s="143" t="s">
        <v>436</v>
      </c>
      <c r="AE37" s="143"/>
      <c r="AF37" s="143" t="s">
        <v>506</v>
      </c>
      <c r="AG37" s="143" t="s">
        <v>503</v>
      </c>
      <c r="AH37" s="143"/>
      <c r="AI37" s="143"/>
      <c r="AJ37" s="151"/>
      <c r="AK37" s="143"/>
      <c r="AL37" s="143"/>
      <c r="AM37" s="143"/>
      <c r="AN37" s="143"/>
      <c r="AO37" s="143"/>
      <c r="AP37" s="143"/>
      <c r="AQ37" s="143"/>
      <c r="AR37" s="143" t="s">
        <v>419</v>
      </c>
      <c r="AS37" s="143"/>
      <c r="AT37" s="143" t="s">
        <v>507</v>
      </c>
      <c r="AU37" s="143"/>
      <c r="AV37" s="143" t="s">
        <v>417</v>
      </c>
      <c r="AW37" s="148"/>
      <c r="AX37" s="148"/>
      <c r="AY37" s="143"/>
      <c r="AZ37" s="143"/>
      <c r="BA37" s="143"/>
      <c r="BB37" s="143" t="s">
        <v>418</v>
      </c>
      <c r="BC37" s="142">
        <v>0</v>
      </c>
      <c r="BD37" s="142">
        <v>0</v>
      </c>
      <c r="BE37" s="142">
        <v>0</v>
      </c>
      <c r="BF37" s="142">
        <v>0</v>
      </c>
      <c r="BG37" s="142">
        <v>0</v>
      </c>
      <c r="BH37" s="142">
        <v>0.577625572681427</v>
      </c>
      <c r="BI37" s="142">
        <v>0.49959999999999999</v>
      </c>
      <c r="BJ37" s="142">
        <v>0</v>
      </c>
      <c r="BK37" s="142">
        <v>0.46589999999999998</v>
      </c>
      <c r="BL37" s="142">
        <v>0</v>
      </c>
      <c r="BM37" s="142">
        <v>0</v>
      </c>
      <c r="BN37" s="142">
        <v>5.8400000000000001E-2</v>
      </c>
      <c r="BO37" s="142">
        <v>0</v>
      </c>
      <c r="BP37" s="142">
        <v>1.3299999999999999E-2</v>
      </c>
      <c r="BQ37" s="142">
        <v>0.65590000000000004</v>
      </c>
      <c r="BR37" s="142">
        <v>0.46589999999999998</v>
      </c>
      <c r="BS37" s="142">
        <v>0.19</v>
      </c>
      <c r="BT37" s="142">
        <v>1.4</v>
      </c>
      <c r="BU37" s="142">
        <v>41.907699999999998</v>
      </c>
      <c r="BV37" s="142">
        <v>0</v>
      </c>
      <c r="BW37" s="143" t="s">
        <v>419</v>
      </c>
    </row>
    <row r="38" spans="5:75">
      <c r="E38" s="143" t="s">
        <v>344</v>
      </c>
      <c r="F38" s="143" t="s">
        <v>423</v>
      </c>
      <c r="G38" s="143" t="s">
        <v>424</v>
      </c>
      <c r="H38" s="143" t="s">
        <v>500</v>
      </c>
      <c r="I38" s="144" t="s">
        <v>501</v>
      </c>
      <c r="J38" s="144" t="s">
        <v>502</v>
      </c>
      <c r="K38" s="144" t="s">
        <v>442</v>
      </c>
      <c r="L38" s="144" t="s">
        <v>503</v>
      </c>
      <c r="M38" s="145">
        <v>4134.00000000001</v>
      </c>
      <c r="N38" s="146">
        <v>750</v>
      </c>
      <c r="O38" s="142" t="s">
        <v>508</v>
      </c>
      <c r="P38" s="143" t="s">
        <v>420</v>
      </c>
      <c r="Q38" s="143" t="s">
        <v>428</v>
      </c>
      <c r="R38" s="147">
        <v>3841.11498257841</v>
      </c>
      <c r="S38" s="146">
        <v>1026.43</v>
      </c>
      <c r="T38" s="148">
        <v>40269</v>
      </c>
      <c r="U38" s="149"/>
      <c r="V38" s="150">
        <v>15</v>
      </c>
      <c r="W38" s="143" t="s">
        <v>505</v>
      </c>
      <c r="X38" s="143"/>
      <c r="Y38" s="143" t="s">
        <v>501</v>
      </c>
      <c r="Z38" s="143" t="s">
        <v>502</v>
      </c>
      <c r="AA38" s="143"/>
      <c r="AB38" s="143"/>
      <c r="AC38" s="143"/>
      <c r="AD38" s="143" t="s">
        <v>442</v>
      </c>
      <c r="AE38" s="143"/>
      <c r="AF38" s="143" t="s">
        <v>506</v>
      </c>
      <c r="AG38" s="143" t="s">
        <v>503</v>
      </c>
      <c r="AH38" s="143"/>
      <c r="AI38" s="143"/>
      <c r="AJ38" s="151"/>
      <c r="AK38" s="143"/>
      <c r="AL38" s="143"/>
      <c r="AM38" s="143"/>
      <c r="AN38" s="143"/>
      <c r="AO38" s="143"/>
      <c r="AP38" s="143"/>
      <c r="AQ38" s="143"/>
      <c r="AR38" s="143" t="s">
        <v>419</v>
      </c>
      <c r="AS38" s="143"/>
      <c r="AT38" s="143" t="s">
        <v>507</v>
      </c>
      <c r="AU38" s="143"/>
      <c r="AV38" s="143" t="s">
        <v>417</v>
      </c>
      <c r="AW38" s="148"/>
      <c r="AX38" s="148"/>
      <c r="AY38" s="143"/>
      <c r="AZ38" s="143"/>
      <c r="BA38" s="143"/>
      <c r="BB38" s="143" t="s">
        <v>418</v>
      </c>
      <c r="BC38" s="142">
        <v>0</v>
      </c>
      <c r="BD38" s="142">
        <v>0</v>
      </c>
      <c r="BE38" s="142">
        <v>0</v>
      </c>
      <c r="BF38" s="142">
        <v>0</v>
      </c>
      <c r="BG38" s="142">
        <v>0</v>
      </c>
      <c r="BH38" s="142">
        <v>1.57305932044983</v>
      </c>
      <c r="BI38" s="142">
        <v>0.49959999999999999</v>
      </c>
      <c r="BJ38" s="142">
        <v>0</v>
      </c>
      <c r="BK38" s="142">
        <v>0.24829999999999999</v>
      </c>
      <c r="BL38" s="142">
        <v>0</v>
      </c>
      <c r="BM38" s="142">
        <v>0</v>
      </c>
      <c r="BN38" s="142">
        <v>5.8400000000000001E-2</v>
      </c>
      <c r="BO38" s="142">
        <v>0</v>
      </c>
      <c r="BP38" s="142">
        <v>1.3299999999999999E-2</v>
      </c>
      <c r="BQ38" s="142">
        <v>0.65590000000000004</v>
      </c>
      <c r="BR38" s="142">
        <v>0.24829999999999999</v>
      </c>
      <c r="BS38" s="142">
        <v>0.40760000000000002</v>
      </c>
      <c r="BT38" s="142">
        <v>2.6</v>
      </c>
      <c r="BU38" s="142">
        <v>22.331399999999999</v>
      </c>
      <c r="BV38" s="142">
        <v>0</v>
      </c>
      <c r="BW38" s="143" t="s">
        <v>419</v>
      </c>
    </row>
    <row r="39" spans="5:75">
      <c r="E39" s="143" t="s">
        <v>344</v>
      </c>
      <c r="F39" s="143" t="s">
        <v>423</v>
      </c>
      <c r="G39" s="143" t="s">
        <v>424</v>
      </c>
      <c r="H39" s="143" t="s">
        <v>500</v>
      </c>
      <c r="I39" s="144" t="s">
        <v>501</v>
      </c>
      <c r="J39" s="144" t="s">
        <v>502</v>
      </c>
      <c r="K39" s="144" t="s">
        <v>438</v>
      </c>
      <c r="L39" s="144" t="s">
        <v>503</v>
      </c>
      <c r="M39" s="145">
        <v>2290.00000000001</v>
      </c>
      <c r="N39" s="146">
        <v>450</v>
      </c>
      <c r="O39" s="142" t="s">
        <v>509</v>
      </c>
      <c r="P39" s="143" t="s">
        <v>420</v>
      </c>
      <c r="Q39" s="143" t="s">
        <v>428</v>
      </c>
      <c r="R39" s="147">
        <v>2127.7584204413602</v>
      </c>
      <c r="S39" s="146">
        <v>753.2</v>
      </c>
      <c r="T39" s="148">
        <v>40269</v>
      </c>
      <c r="U39" s="149"/>
      <c r="V39" s="150">
        <v>15</v>
      </c>
      <c r="W39" s="143" t="s">
        <v>505</v>
      </c>
      <c r="X39" s="143"/>
      <c r="Y39" s="143" t="s">
        <v>501</v>
      </c>
      <c r="Z39" s="143" t="s">
        <v>502</v>
      </c>
      <c r="AA39" s="143"/>
      <c r="AB39" s="143"/>
      <c r="AC39" s="143"/>
      <c r="AD39" s="143" t="s">
        <v>438</v>
      </c>
      <c r="AE39" s="143"/>
      <c r="AF39" s="143" t="s">
        <v>506</v>
      </c>
      <c r="AG39" s="143" t="s">
        <v>503</v>
      </c>
      <c r="AH39" s="143"/>
      <c r="AI39" s="143"/>
      <c r="AJ39" s="151"/>
      <c r="AK39" s="143"/>
      <c r="AL39" s="143"/>
      <c r="AM39" s="143"/>
      <c r="AN39" s="143"/>
      <c r="AO39" s="143"/>
      <c r="AP39" s="143"/>
      <c r="AQ39" s="143"/>
      <c r="AR39" s="143" t="s">
        <v>419</v>
      </c>
      <c r="AS39" s="143"/>
      <c r="AT39" s="143" t="s">
        <v>507</v>
      </c>
      <c r="AU39" s="143"/>
      <c r="AV39" s="143" t="s">
        <v>417</v>
      </c>
      <c r="AW39" s="148"/>
      <c r="AX39" s="148"/>
      <c r="AY39" s="143"/>
      <c r="AZ39" s="143"/>
      <c r="BA39" s="143"/>
      <c r="BB39" s="143" t="s">
        <v>418</v>
      </c>
      <c r="BC39" s="142">
        <v>0</v>
      </c>
      <c r="BD39" s="142">
        <v>0</v>
      </c>
      <c r="BE39" s="142">
        <v>0</v>
      </c>
      <c r="BF39" s="142">
        <v>0</v>
      </c>
      <c r="BG39" s="142">
        <v>0</v>
      </c>
      <c r="BH39" s="142">
        <v>0.871385097503662</v>
      </c>
      <c r="BI39" s="142">
        <v>0.49959999999999999</v>
      </c>
      <c r="BJ39" s="142">
        <v>0</v>
      </c>
      <c r="BK39" s="142">
        <v>0.32890000000000003</v>
      </c>
      <c r="BL39" s="142">
        <v>0</v>
      </c>
      <c r="BM39" s="142">
        <v>0</v>
      </c>
      <c r="BN39" s="142">
        <v>5.8400000000000001E-2</v>
      </c>
      <c r="BO39" s="142">
        <v>0</v>
      </c>
      <c r="BP39" s="142">
        <v>1.3299999999999999E-2</v>
      </c>
      <c r="BQ39" s="142">
        <v>0.65590000000000004</v>
      </c>
      <c r="BR39" s="142">
        <v>0.32890000000000003</v>
      </c>
      <c r="BS39" s="142">
        <v>0.32700000000000001</v>
      </c>
      <c r="BT39" s="142">
        <v>2</v>
      </c>
      <c r="BU39" s="142">
        <v>29.5822</v>
      </c>
      <c r="BV39" s="142">
        <v>0</v>
      </c>
      <c r="BW39" s="143" t="s">
        <v>419</v>
      </c>
    </row>
    <row r="40" spans="5:75">
      <c r="E40" s="143" t="s">
        <v>344</v>
      </c>
      <c r="F40" s="143" t="s">
        <v>423</v>
      </c>
      <c r="G40" s="143" t="s">
        <v>424</v>
      </c>
      <c r="H40" s="143" t="s">
        <v>500</v>
      </c>
      <c r="I40" s="144" t="s">
        <v>501</v>
      </c>
      <c r="J40" s="144" t="s">
        <v>502</v>
      </c>
      <c r="K40" s="144" t="s">
        <v>440</v>
      </c>
      <c r="L40" s="144" t="s">
        <v>503</v>
      </c>
      <c r="M40" s="145">
        <v>3053</v>
      </c>
      <c r="N40" s="146">
        <v>600</v>
      </c>
      <c r="O40" s="142" t="s">
        <v>510</v>
      </c>
      <c r="P40" s="143" t="s">
        <v>420</v>
      </c>
      <c r="Q40" s="143" t="s">
        <v>428</v>
      </c>
      <c r="R40" s="147">
        <v>2836.70150987224</v>
      </c>
      <c r="S40" s="146">
        <v>960.35</v>
      </c>
      <c r="T40" s="148">
        <v>40269</v>
      </c>
      <c r="U40" s="149"/>
      <c r="V40" s="150">
        <v>15</v>
      </c>
      <c r="W40" s="143" t="s">
        <v>505</v>
      </c>
      <c r="X40" s="143"/>
      <c r="Y40" s="143" t="s">
        <v>501</v>
      </c>
      <c r="Z40" s="143" t="s">
        <v>502</v>
      </c>
      <c r="AA40" s="143"/>
      <c r="AB40" s="143"/>
      <c r="AC40" s="143"/>
      <c r="AD40" s="143" t="s">
        <v>440</v>
      </c>
      <c r="AE40" s="143"/>
      <c r="AF40" s="143" t="s">
        <v>506</v>
      </c>
      <c r="AG40" s="143" t="s">
        <v>503</v>
      </c>
      <c r="AH40" s="143"/>
      <c r="AI40" s="143"/>
      <c r="AJ40" s="151"/>
      <c r="AK40" s="143"/>
      <c r="AL40" s="143"/>
      <c r="AM40" s="143"/>
      <c r="AN40" s="143"/>
      <c r="AO40" s="143"/>
      <c r="AP40" s="143"/>
      <c r="AQ40" s="143"/>
      <c r="AR40" s="143" t="s">
        <v>419</v>
      </c>
      <c r="AS40" s="143"/>
      <c r="AT40" s="143" t="s">
        <v>507</v>
      </c>
      <c r="AU40" s="143"/>
      <c r="AV40" s="143" t="s">
        <v>417</v>
      </c>
      <c r="AW40" s="148"/>
      <c r="AX40" s="148"/>
      <c r="AY40" s="143"/>
      <c r="AZ40" s="143"/>
      <c r="BA40" s="143"/>
      <c r="BB40" s="143" t="s">
        <v>418</v>
      </c>
      <c r="BC40" s="142">
        <v>0</v>
      </c>
      <c r="BD40" s="142">
        <v>0</v>
      </c>
      <c r="BE40" s="142">
        <v>0</v>
      </c>
      <c r="BF40" s="142">
        <v>0</v>
      </c>
      <c r="BG40" s="142">
        <v>0</v>
      </c>
      <c r="BH40" s="142">
        <v>1.16171991825104</v>
      </c>
      <c r="BI40" s="142">
        <v>0.49959999999999999</v>
      </c>
      <c r="BJ40" s="142">
        <v>0</v>
      </c>
      <c r="BK40" s="142">
        <v>0.31459999999999999</v>
      </c>
      <c r="BL40" s="142">
        <v>0</v>
      </c>
      <c r="BM40" s="142">
        <v>0</v>
      </c>
      <c r="BN40" s="142">
        <v>5.8400000000000001E-2</v>
      </c>
      <c r="BO40" s="142">
        <v>0</v>
      </c>
      <c r="BP40" s="142">
        <v>1.3299999999999999E-2</v>
      </c>
      <c r="BQ40" s="142">
        <v>0.65590000000000004</v>
      </c>
      <c r="BR40" s="142">
        <v>0.31459999999999999</v>
      </c>
      <c r="BS40" s="142">
        <v>0.34139999999999998</v>
      </c>
      <c r="BT40" s="142">
        <v>2.1</v>
      </c>
      <c r="BU40" s="142">
        <v>28.291699999999999</v>
      </c>
      <c r="BV40" s="142">
        <v>0</v>
      </c>
      <c r="BW40" s="143" t="s">
        <v>419</v>
      </c>
    </row>
    <row r="41" spans="5:75">
      <c r="E41" s="143" t="s">
        <v>344</v>
      </c>
      <c r="F41" s="143" t="s">
        <v>423</v>
      </c>
      <c r="G41" s="143" t="s">
        <v>424</v>
      </c>
      <c r="H41" s="143" t="s">
        <v>500</v>
      </c>
      <c r="I41" s="144" t="s">
        <v>501</v>
      </c>
      <c r="J41" s="144" t="s">
        <v>502</v>
      </c>
      <c r="K41" s="144" t="s">
        <v>448</v>
      </c>
      <c r="L41" s="144" t="s">
        <v>503</v>
      </c>
      <c r="M41" s="145">
        <v>8586.0000009999894</v>
      </c>
      <c r="N41" s="146">
        <v>1500</v>
      </c>
      <c r="O41" s="142" t="s">
        <v>511</v>
      </c>
      <c r="P41" s="143" t="s">
        <v>420</v>
      </c>
      <c r="Q41" s="143" t="s">
        <v>428</v>
      </c>
      <c r="R41" s="147">
        <v>7977.7003493612001</v>
      </c>
      <c r="S41" s="146">
        <v>1958.08</v>
      </c>
      <c r="T41" s="148">
        <v>40269</v>
      </c>
      <c r="U41" s="149"/>
      <c r="V41" s="150">
        <v>15</v>
      </c>
      <c r="W41" s="143" t="s">
        <v>505</v>
      </c>
      <c r="X41" s="143"/>
      <c r="Y41" s="143" t="s">
        <v>501</v>
      </c>
      <c r="Z41" s="143" t="s">
        <v>502</v>
      </c>
      <c r="AA41" s="143"/>
      <c r="AB41" s="143"/>
      <c r="AC41" s="143"/>
      <c r="AD41" s="143" t="s">
        <v>448</v>
      </c>
      <c r="AE41" s="143"/>
      <c r="AF41" s="143" t="s">
        <v>506</v>
      </c>
      <c r="AG41" s="143" t="s">
        <v>503</v>
      </c>
      <c r="AH41" s="143"/>
      <c r="AI41" s="143"/>
      <c r="AJ41" s="151"/>
      <c r="AK41" s="143"/>
      <c r="AL41" s="143"/>
      <c r="AM41" s="143"/>
      <c r="AN41" s="143"/>
      <c r="AO41" s="143"/>
      <c r="AP41" s="143"/>
      <c r="AQ41" s="143"/>
      <c r="AR41" s="143" t="s">
        <v>419</v>
      </c>
      <c r="AS41" s="143"/>
      <c r="AT41" s="143" t="s">
        <v>507</v>
      </c>
      <c r="AU41" s="143"/>
      <c r="AV41" s="143" t="s">
        <v>417</v>
      </c>
      <c r="AW41" s="148"/>
      <c r="AX41" s="148"/>
      <c r="AY41" s="143"/>
      <c r="AZ41" s="143"/>
      <c r="BA41" s="143"/>
      <c r="BB41" s="143" t="s">
        <v>418</v>
      </c>
      <c r="BC41" s="142">
        <v>0</v>
      </c>
      <c r="BD41" s="142">
        <v>0</v>
      </c>
      <c r="BE41" s="142">
        <v>0</v>
      </c>
      <c r="BF41" s="142">
        <v>0</v>
      </c>
      <c r="BG41" s="142">
        <v>0</v>
      </c>
      <c r="BH41" s="142">
        <v>3.2671232223510698</v>
      </c>
      <c r="BI41" s="142">
        <v>0.49959999999999999</v>
      </c>
      <c r="BJ41" s="142">
        <v>0</v>
      </c>
      <c r="BK41" s="142">
        <v>0.2281</v>
      </c>
      <c r="BL41" s="142">
        <v>0</v>
      </c>
      <c r="BM41" s="142">
        <v>0</v>
      </c>
      <c r="BN41" s="142">
        <v>5.8400000000000001E-2</v>
      </c>
      <c r="BO41" s="142">
        <v>0</v>
      </c>
      <c r="BP41" s="142">
        <v>1.3299999999999999E-2</v>
      </c>
      <c r="BQ41" s="142">
        <v>0.65590000000000004</v>
      </c>
      <c r="BR41" s="142">
        <v>0.2281</v>
      </c>
      <c r="BS41" s="142">
        <v>0.4279</v>
      </c>
      <c r="BT41" s="142">
        <v>2.9</v>
      </c>
      <c r="BU41" s="142">
        <v>20.511600000000001</v>
      </c>
      <c r="BV41" s="142">
        <v>0</v>
      </c>
      <c r="BW41" s="143" t="s">
        <v>419</v>
      </c>
    </row>
    <row r="42" spans="5:75">
      <c r="E42" s="143" t="s">
        <v>344</v>
      </c>
      <c r="F42" s="143" t="s">
        <v>423</v>
      </c>
      <c r="G42" s="143" t="s">
        <v>424</v>
      </c>
      <c r="H42" s="143" t="s">
        <v>500</v>
      </c>
      <c r="I42" s="144" t="s">
        <v>501</v>
      </c>
      <c r="J42" s="144" t="s">
        <v>502</v>
      </c>
      <c r="K42" s="144" t="s">
        <v>446</v>
      </c>
      <c r="L42" s="144" t="s">
        <v>503</v>
      </c>
      <c r="M42" s="145">
        <v>6559.00000000002</v>
      </c>
      <c r="N42" s="146">
        <v>1125</v>
      </c>
      <c r="O42" s="142" t="s">
        <v>512</v>
      </c>
      <c r="P42" s="143" t="s">
        <v>420</v>
      </c>
      <c r="Q42" s="143" t="s">
        <v>428</v>
      </c>
      <c r="R42" s="147">
        <v>6094.3089430894497</v>
      </c>
      <c r="S42" s="146">
        <v>1539.12</v>
      </c>
      <c r="T42" s="148">
        <v>40269</v>
      </c>
      <c r="U42" s="149"/>
      <c r="V42" s="150">
        <v>15</v>
      </c>
      <c r="W42" s="143" t="s">
        <v>505</v>
      </c>
      <c r="X42" s="143"/>
      <c r="Y42" s="143" t="s">
        <v>501</v>
      </c>
      <c r="Z42" s="143" t="s">
        <v>502</v>
      </c>
      <c r="AA42" s="143"/>
      <c r="AB42" s="143"/>
      <c r="AC42" s="143"/>
      <c r="AD42" s="143" t="s">
        <v>446</v>
      </c>
      <c r="AE42" s="143"/>
      <c r="AF42" s="143" t="s">
        <v>506</v>
      </c>
      <c r="AG42" s="143" t="s">
        <v>503</v>
      </c>
      <c r="AH42" s="143"/>
      <c r="AI42" s="143"/>
      <c r="AJ42" s="151"/>
      <c r="AK42" s="143"/>
      <c r="AL42" s="143"/>
      <c r="AM42" s="143"/>
      <c r="AN42" s="143"/>
      <c r="AO42" s="143"/>
      <c r="AP42" s="143"/>
      <c r="AQ42" s="143"/>
      <c r="AR42" s="143" t="s">
        <v>419</v>
      </c>
      <c r="AS42" s="143"/>
      <c r="AT42" s="143" t="s">
        <v>507</v>
      </c>
      <c r="AU42" s="143"/>
      <c r="AV42" s="143" t="s">
        <v>417</v>
      </c>
      <c r="AW42" s="148"/>
      <c r="AX42" s="148"/>
      <c r="AY42" s="143"/>
      <c r="AZ42" s="143"/>
      <c r="BA42" s="143"/>
      <c r="BB42" s="143" t="s">
        <v>418</v>
      </c>
      <c r="BC42" s="142">
        <v>0</v>
      </c>
      <c r="BD42" s="142">
        <v>0</v>
      </c>
      <c r="BE42" s="142">
        <v>0</v>
      </c>
      <c r="BF42" s="142">
        <v>0</v>
      </c>
      <c r="BG42" s="142">
        <v>0</v>
      </c>
      <c r="BH42" s="142">
        <v>2.4958143234252899</v>
      </c>
      <c r="BI42" s="142">
        <v>0.49959999999999999</v>
      </c>
      <c r="BJ42" s="142">
        <v>0</v>
      </c>
      <c r="BK42" s="142">
        <v>0.23469999999999999</v>
      </c>
      <c r="BL42" s="142">
        <v>0</v>
      </c>
      <c r="BM42" s="142">
        <v>0</v>
      </c>
      <c r="BN42" s="142">
        <v>5.8400000000000001E-2</v>
      </c>
      <c r="BO42" s="142">
        <v>0</v>
      </c>
      <c r="BP42" s="142">
        <v>1.3299999999999999E-2</v>
      </c>
      <c r="BQ42" s="142">
        <v>0.65590000000000004</v>
      </c>
      <c r="BR42" s="142">
        <v>0.23469999999999999</v>
      </c>
      <c r="BS42" s="142">
        <v>0.42130000000000001</v>
      </c>
      <c r="BT42" s="142">
        <v>2.8</v>
      </c>
      <c r="BU42" s="142">
        <v>21.1053</v>
      </c>
      <c r="BV42" s="142">
        <v>0</v>
      </c>
      <c r="BW42" s="143" t="s">
        <v>419</v>
      </c>
    </row>
    <row r="43" spans="5:75">
      <c r="E43" s="143" t="s">
        <v>344</v>
      </c>
      <c r="F43" s="143" t="s">
        <v>423</v>
      </c>
      <c r="G43" s="143" t="s">
        <v>424</v>
      </c>
      <c r="H43" s="143" t="s">
        <v>500</v>
      </c>
      <c r="I43" s="144" t="s">
        <v>501</v>
      </c>
      <c r="J43" s="144" t="s">
        <v>502</v>
      </c>
      <c r="K43" s="144" t="s">
        <v>444</v>
      </c>
      <c r="L43" s="144" t="s">
        <v>503</v>
      </c>
      <c r="M43" s="145">
        <v>5247.0000009999703</v>
      </c>
      <c r="N43" s="146">
        <v>900</v>
      </c>
      <c r="O43" s="142" t="s">
        <v>513</v>
      </c>
      <c r="P43" s="143" t="s">
        <v>420</v>
      </c>
      <c r="Q43" s="143" t="s">
        <v>428</v>
      </c>
      <c r="R43" s="147">
        <v>4875.2613249709402</v>
      </c>
      <c r="S43" s="146">
        <v>1332.64</v>
      </c>
      <c r="T43" s="148">
        <v>40269</v>
      </c>
      <c r="U43" s="149"/>
      <c r="V43" s="150">
        <v>15</v>
      </c>
      <c r="W43" s="143" t="s">
        <v>505</v>
      </c>
      <c r="X43" s="143"/>
      <c r="Y43" s="143" t="s">
        <v>501</v>
      </c>
      <c r="Z43" s="143" t="s">
        <v>502</v>
      </c>
      <c r="AA43" s="143"/>
      <c r="AB43" s="143"/>
      <c r="AC43" s="143"/>
      <c r="AD43" s="143" t="s">
        <v>444</v>
      </c>
      <c r="AE43" s="143"/>
      <c r="AF43" s="143" t="s">
        <v>506</v>
      </c>
      <c r="AG43" s="143" t="s">
        <v>503</v>
      </c>
      <c r="AH43" s="143"/>
      <c r="AI43" s="143"/>
      <c r="AJ43" s="151"/>
      <c r="AK43" s="143"/>
      <c r="AL43" s="143"/>
      <c r="AM43" s="143"/>
      <c r="AN43" s="143"/>
      <c r="AO43" s="143"/>
      <c r="AP43" s="143"/>
      <c r="AQ43" s="143"/>
      <c r="AR43" s="143" t="s">
        <v>419</v>
      </c>
      <c r="AS43" s="143"/>
      <c r="AT43" s="143" t="s">
        <v>507</v>
      </c>
      <c r="AU43" s="143"/>
      <c r="AV43" s="143" t="s">
        <v>417</v>
      </c>
      <c r="AW43" s="148"/>
      <c r="AX43" s="148"/>
      <c r="AY43" s="143"/>
      <c r="AZ43" s="143"/>
      <c r="BA43" s="143"/>
      <c r="BB43" s="143" t="s">
        <v>418</v>
      </c>
      <c r="BC43" s="142">
        <v>0</v>
      </c>
      <c r="BD43" s="142">
        <v>0</v>
      </c>
      <c r="BE43" s="142">
        <v>0</v>
      </c>
      <c r="BF43" s="142">
        <v>0</v>
      </c>
      <c r="BG43" s="142">
        <v>0</v>
      </c>
      <c r="BH43" s="142">
        <v>1.99657535552979</v>
      </c>
      <c r="BI43" s="142">
        <v>0.49959999999999999</v>
      </c>
      <c r="BJ43" s="142">
        <v>0</v>
      </c>
      <c r="BK43" s="142">
        <v>0.254</v>
      </c>
      <c r="BL43" s="142">
        <v>0</v>
      </c>
      <c r="BM43" s="142">
        <v>0</v>
      </c>
      <c r="BN43" s="142">
        <v>5.8400000000000001E-2</v>
      </c>
      <c r="BO43" s="142">
        <v>0</v>
      </c>
      <c r="BP43" s="142">
        <v>1.3299999999999999E-2</v>
      </c>
      <c r="BQ43" s="142">
        <v>0.65590000000000004</v>
      </c>
      <c r="BR43" s="142">
        <v>0.254</v>
      </c>
      <c r="BS43" s="142">
        <v>0.40200000000000002</v>
      </c>
      <c r="BT43" s="142">
        <v>2.6</v>
      </c>
      <c r="BU43" s="142">
        <v>22.843299999999999</v>
      </c>
      <c r="BV43" s="142">
        <v>0</v>
      </c>
      <c r="BW43" s="143" t="s">
        <v>419</v>
      </c>
    </row>
    <row r="44" spans="5:75">
      <c r="E44" s="143" t="s">
        <v>344</v>
      </c>
      <c r="F44" s="143" t="s">
        <v>423</v>
      </c>
      <c r="G44" s="143" t="s">
        <v>424</v>
      </c>
      <c r="H44" s="143" t="s">
        <v>500</v>
      </c>
      <c r="I44" s="144" t="s">
        <v>501</v>
      </c>
      <c r="J44" s="144" t="s">
        <v>502</v>
      </c>
      <c r="K44" s="144" t="s">
        <v>450</v>
      </c>
      <c r="L44" s="144" t="s">
        <v>503</v>
      </c>
      <c r="M44" s="145">
        <v>10137.000001</v>
      </c>
      <c r="N44" s="146">
        <v>1875</v>
      </c>
      <c r="O44" s="142" t="s">
        <v>514</v>
      </c>
      <c r="P44" s="143" t="s">
        <v>420</v>
      </c>
      <c r="Q44" s="143" t="s">
        <v>428</v>
      </c>
      <c r="R44" s="147">
        <v>9418.8153319395806</v>
      </c>
      <c r="S44" s="146">
        <v>2080.88</v>
      </c>
      <c r="T44" s="148">
        <v>40269</v>
      </c>
      <c r="U44" s="149"/>
      <c r="V44" s="150">
        <v>15</v>
      </c>
      <c r="W44" s="143" t="s">
        <v>505</v>
      </c>
      <c r="X44" s="143"/>
      <c r="Y44" s="143" t="s">
        <v>501</v>
      </c>
      <c r="Z44" s="143" t="s">
        <v>502</v>
      </c>
      <c r="AA44" s="143"/>
      <c r="AB44" s="143"/>
      <c r="AC44" s="143"/>
      <c r="AD44" s="143" t="s">
        <v>450</v>
      </c>
      <c r="AE44" s="143"/>
      <c r="AF44" s="143" t="s">
        <v>506</v>
      </c>
      <c r="AG44" s="143" t="s">
        <v>503</v>
      </c>
      <c r="AH44" s="143"/>
      <c r="AI44" s="143"/>
      <c r="AJ44" s="151"/>
      <c r="AK44" s="143"/>
      <c r="AL44" s="143"/>
      <c r="AM44" s="143"/>
      <c r="AN44" s="143"/>
      <c r="AO44" s="143"/>
      <c r="AP44" s="143"/>
      <c r="AQ44" s="143"/>
      <c r="AR44" s="143" t="s">
        <v>419</v>
      </c>
      <c r="AS44" s="143"/>
      <c r="AT44" s="143" t="s">
        <v>507</v>
      </c>
      <c r="AU44" s="143"/>
      <c r="AV44" s="143" t="s">
        <v>417</v>
      </c>
      <c r="AW44" s="148"/>
      <c r="AX44" s="148"/>
      <c r="AY44" s="143"/>
      <c r="AZ44" s="143"/>
      <c r="BA44" s="143"/>
      <c r="BB44" s="143" t="s">
        <v>418</v>
      </c>
      <c r="BC44" s="142">
        <v>0</v>
      </c>
      <c r="BD44" s="142">
        <v>0</v>
      </c>
      <c r="BE44" s="142">
        <v>0</v>
      </c>
      <c r="BF44" s="142">
        <v>0</v>
      </c>
      <c r="BG44" s="142">
        <v>0</v>
      </c>
      <c r="BH44" s="142">
        <v>3.8573060035705602</v>
      </c>
      <c r="BI44" s="142">
        <v>0.49959999999999999</v>
      </c>
      <c r="BJ44" s="142">
        <v>0</v>
      </c>
      <c r="BK44" s="142">
        <v>0.20530000000000001</v>
      </c>
      <c r="BL44" s="142">
        <v>0</v>
      </c>
      <c r="BM44" s="142">
        <v>0</v>
      </c>
      <c r="BN44" s="142">
        <v>5.8400000000000001E-2</v>
      </c>
      <c r="BO44" s="142">
        <v>0</v>
      </c>
      <c r="BP44" s="142">
        <v>1.3299999999999999E-2</v>
      </c>
      <c r="BQ44" s="142">
        <v>0.65590000000000004</v>
      </c>
      <c r="BR44" s="142">
        <v>0.20530000000000001</v>
      </c>
      <c r="BS44" s="142">
        <v>0.45069999999999999</v>
      </c>
      <c r="BT44" s="142">
        <v>3.2</v>
      </c>
      <c r="BU44" s="142">
        <v>18.462700000000002</v>
      </c>
      <c r="BV44" s="142">
        <v>0</v>
      </c>
      <c r="BW44" s="143" t="s">
        <v>419</v>
      </c>
    </row>
    <row r="45" spans="5:75">
      <c r="E45" s="143" t="s">
        <v>344</v>
      </c>
      <c r="F45" s="143" t="s">
        <v>423</v>
      </c>
      <c r="G45" s="143" t="s">
        <v>424</v>
      </c>
      <c r="H45" s="143" t="s">
        <v>500</v>
      </c>
      <c r="I45" s="144" t="s">
        <v>501</v>
      </c>
      <c r="J45" s="144" t="s">
        <v>502</v>
      </c>
      <c r="K45" s="144" t="s">
        <v>454</v>
      </c>
      <c r="L45" s="144" t="s">
        <v>503</v>
      </c>
      <c r="M45" s="145">
        <v>15265</v>
      </c>
      <c r="N45" s="146">
        <v>3000</v>
      </c>
      <c r="O45" s="142" t="s">
        <v>515</v>
      </c>
      <c r="P45" s="143" t="s">
        <v>420</v>
      </c>
      <c r="Q45" s="143" t="s">
        <v>428</v>
      </c>
      <c r="R45" s="147">
        <v>14183.5075493612</v>
      </c>
      <c r="S45" s="146">
        <v>3971.34</v>
      </c>
      <c r="T45" s="148">
        <v>40269</v>
      </c>
      <c r="U45" s="149"/>
      <c r="V45" s="150">
        <v>15</v>
      </c>
      <c r="W45" s="143" t="s">
        <v>505</v>
      </c>
      <c r="X45" s="143"/>
      <c r="Y45" s="143" t="s">
        <v>501</v>
      </c>
      <c r="Z45" s="143" t="s">
        <v>502</v>
      </c>
      <c r="AA45" s="143"/>
      <c r="AB45" s="143"/>
      <c r="AC45" s="143"/>
      <c r="AD45" s="143" t="s">
        <v>454</v>
      </c>
      <c r="AE45" s="143"/>
      <c r="AF45" s="143" t="s">
        <v>506</v>
      </c>
      <c r="AG45" s="143" t="s">
        <v>503</v>
      </c>
      <c r="AH45" s="143"/>
      <c r="AI45" s="143"/>
      <c r="AJ45" s="151"/>
      <c r="AK45" s="143"/>
      <c r="AL45" s="143"/>
      <c r="AM45" s="143"/>
      <c r="AN45" s="143"/>
      <c r="AO45" s="143"/>
      <c r="AP45" s="143"/>
      <c r="AQ45" s="143"/>
      <c r="AR45" s="143" t="s">
        <v>419</v>
      </c>
      <c r="AS45" s="143"/>
      <c r="AT45" s="143" t="s">
        <v>507</v>
      </c>
      <c r="AU45" s="143"/>
      <c r="AV45" s="143" t="s">
        <v>417</v>
      </c>
      <c r="AW45" s="148"/>
      <c r="AX45" s="148"/>
      <c r="AY45" s="143"/>
      <c r="AZ45" s="143"/>
      <c r="BA45" s="143"/>
      <c r="BB45" s="143" t="s">
        <v>418</v>
      </c>
      <c r="BC45" s="142">
        <v>0</v>
      </c>
      <c r="BD45" s="142">
        <v>0</v>
      </c>
      <c r="BE45" s="142">
        <v>0</v>
      </c>
      <c r="BF45" s="142">
        <v>0</v>
      </c>
      <c r="BG45" s="142">
        <v>0</v>
      </c>
      <c r="BH45" s="142">
        <v>5.8085994720459002</v>
      </c>
      <c r="BI45" s="142">
        <v>0.49959999999999999</v>
      </c>
      <c r="BJ45" s="142">
        <v>0</v>
      </c>
      <c r="BK45" s="142">
        <v>0.26019999999999999</v>
      </c>
      <c r="BL45" s="142">
        <v>0</v>
      </c>
      <c r="BM45" s="142">
        <v>0</v>
      </c>
      <c r="BN45" s="142">
        <v>5.8400000000000001E-2</v>
      </c>
      <c r="BO45" s="142">
        <v>0</v>
      </c>
      <c r="BP45" s="142">
        <v>1.3299999999999999E-2</v>
      </c>
      <c r="BQ45" s="142">
        <v>0.65590000000000004</v>
      </c>
      <c r="BR45" s="142">
        <v>0.26019999999999999</v>
      </c>
      <c r="BS45" s="142">
        <v>0.39579999999999999</v>
      </c>
      <c r="BT45" s="142">
        <v>2.5</v>
      </c>
      <c r="BU45" s="142">
        <v>23.399100000000001</v>
      </c>
      <c r="BV45" s="142">
        <v>0</v>
      </c>
      <c r="BW45" s="143" t="s">
        <v>419</v>
      </c>
    </row>
    <row r="46" spans="5:75">
      <c r="E46" s="143" t="s">
        <v>344</v>
      </c>
      <c r="F46" s="143" t="s">
        <v>423</v>
      </c>
      <c r="G46" s="143" t="s">
        <v>424</v>
      </c>
      <c r="H46" s="143" t="s">
        <v>500</v>
      </c>
      <c r="I46" s="144" t="s">
        <v>501</v>
      </c>
      <c r="J46" s="144" t="s">
        <v>502</v>
      </c>
      <c r="K46" s="144" t="s">
        <v>452</v>
      </c>
      <c r="L46" s="144" t="s">
        <v>503</v>
      </c>
      <c r="M46" s="145">
        <v>11926</v>
      </c>
      <c r="N46" s="146">
        <v>2250</v>
      </c>
      <c r="O46" s="142" t="s">
        <v>516</v>
      </c>
      <c r="P46" s="143" t="s">
        <v>420</v>
      </c>
      <c r="Q46" s="143" t="s">
        <v>428</v>
      </c>
      <c r="R46" s="147">
        <v>11081.068524971</v>
      </c>
      <c r="S46" s="146">
        <v>3403.09</v>
      </c>
      <c r="T46" s="148">
        <v>40269</v>
      </c>
      <c r="U46" s="149"/>
      <c r="V46" s="150">
        <v>15</v>
      </c>
      <c r="W46" s="143" t="s">
        <v>505</v>
      </c>
      <c r="X46" s="143"/>
      <c r="Y46" s="143" t="s">
        <v>501</v>
      </c>
      <c r="Z46" s="143" t="s">
        <v>502</v>
      </c>
      <c r="AA46" s="143"/>
      <c r="AB46" s="143"/>
      <c r="AC46" s="143"/>
      <c r="AD46" s="143" t="s">
        <v>452</v>
      </c>
      <c r="AE46" s="143"/>
      <c r="AF46" s="143" t="s">
        <v>506</v>
      </c>
      <c r="AG46" s="143" t="s">
        <v>503</v>
      </c>
      <c r="AH46" s="143"/>
      <c r="AI46" s="143"/>
      <c r="AJ46" s="151"/>
      <c r="AK46" s="143"/>
      <c r="AL46" s="143"/>
      <c r="AM46" s="143"/>
      <c r="AN46" s="143"/>
      <c r="AO46" s="143"/>
      <c r="AP46" s="143"/>
      <c r="AQ46" s="143"/>
      <c r="AR46" s="143" t="s">
        <v>419</v>
      </c>
      <c r="AS46" s="143"/>
      <c r="AT46" s="143" t="s">
        <v>507</v>
      </c>
      <c r="AU46" s="143"/>
      <c r="AV46" s="143" t="s">
        <v>417</v>
      </c>
      <c r="AW46" s="148"/>
      <c r="AX46" s="148"/>
      <c r="AY46" s="143"/>
      <c r="AZ46" s="143"/>
      <c r="BA46" s="143"/>
      <c r="BB46" s="143" t="s">
        <v>418</v>
      </c>
      <c r="BC46" s="142">
        <v>0</v>
      </c>
      <c r="BD46" s="142">
        <v>0</v>
      </c>
      <c r="BE46" s="142">
        <v>0</v>
      </c>
      <c r="BF46" s="142">
        <v>0</v>
      </c>
      <c r="BG46" s="142">
        <v>0</v>
      </c>
      <c r="BH46" s="142">
        <v>4.5380516052246103</v>
      </c>
      <c r="BI46" s="142">
        <v>0.49959999999999999</v>
      </c>
      <c r="BJ46" s="142">
        <v>0</v>
      </c>
      <c r="BK46" s="142">
        <v>0.28539999999999999</v>
      </c>
      <c r="BL46" s="142">
        <v>0</v>
      </c>
      <c r="BM46" s="142">
        <v>0</v>
      </c>
      <c r="BN46" s="142">
        <v>5.8400000000000001E-2</v>
      </c>
      <c r="BO46" s="142">
        <v>0</v>
      </c>
      <c r="BP46" s="142">
        <v>1.3299999999999999E-2</v>
      </c>
      <c r="BQ46" s="142">
        <v>0.65590000000000004</v>
      </c>
      <c r="BR46" s="142">
        <v>0.28539999999999999</v>
      </c>
      <c r="BS46" s="142">
        <v>0.37059999999999998</v>
      </c>
      <c r="BT46" s="142">
        <v>2.2999999999999998</v>
      </c>
      <c r="BU46" s="142">
        <v>25.6647</v>
      </c>
      <c r="BV46" s="142">
        <v>0</v>
      </c>
      <c r="BW46" s="143" t="s">
        <v>419</v>
      </c>
    </row>
    <row r="47" spans="5:75">
      <c r="E47" s="143" t="s">
        <v>344</v>
      </c>
      <c r="F47" s="143" t="s">
        <v>423</v>
      </c>
      <c r="G47" s="143" t="s">
        <v>424</v>
      </c>
      <c r="H47" s="143" t="s">
        <v>500</v>
      </c>
      <c r="I47" s="144" t="s">
        <v>501</v>
      </c>
      <c r="J47" s="144" t="s">
        <v>502</v>
      </c>
      <c r="K47" s="144" t="s">
        <v>517</v>
      </c>
      <c r="L47" s="144" t="s">
        <v>503</v>
      </c>
      <c r="M47" s="145">
        <v>351.999999</v>
      </c>
      <c r="N47" s="146">
        <v>75</v>
      </c>
      <c r="O47" s="142" t="s">
        <v>518</v>
      </c>
      <c r="P47" s="143" t="s">
        <v>420</v>
      </c>
      <c r="Q47" s="143" t="s">
        <v>428</v>
      </c>
      <c r="R47" s="147">
        <v>327.06155540069699</v>
      </c>
      <c r="S47" s="146">
        <v>125.41</v>
      </c>
      <c r="T47" s="148">
        <v>40269</v>
      </c>
      <c r="U47" s="149"/>
      <c r="V47" s="150">
        <v>15</v>
      </c>
      <c r="W47" s="143" t="s">
        <v>505</v>
      </c>
      <c r="X47" s="143"/>
      <c r="Y47" s="143" t="s">
        <v>501</v>
      </c>
      <c r="Z47" s="143" t="s">
        <v>502</v>
      </c>
      <c r="AA47" s="143"/>
      <c r="AB47" s="143"/>
      <c r="AC47" s="143"/>
      <c r="AD47" s="143" t="s">
        <v>517</v>
      </c>
      <c r="AE47" s="143"/>
      <c r="AF47" s="143" t="s">
        <v>506</v>
      </c>
      <c r="AG47" s="143" t="s">
        <v>503</v>
      </c>
      <c r="AH47" s="143"/>
      <c r="AI47" s="143"/>
      <c r="AJ47" s="151"/>
      <c r="AK47" s="143"/>
      <c r="AL47" s="143"/>
      <c r="AM47" s="143"/>
      <c r="AN47" s="143"/>
      <c r="AO47" s="143"/>
      <c r="AP47" s="143"/>
      <c r="AQ47" s="143"/>
      <c r="AR47" s="143" t="s">
        <v>419</v>
      </c>
      <c r="AS47" s="143"/>
      <c r="AT47" s="143" t="s">
        <v>507</v>
      </c>
      <c r="AU47" s="143"/>
      <c r="AV47" s="143" t="s">
        <v>417</v>
      </c>
      <c r="AW47" s="148"/>
      <c r="AX47" s="148"/>
      <c r="AY47" s="143"/>
      <c r="AZ47" s="143"/>
      <c r="BA47" s="143"/>
      <c r="BB47" s="143" t="s">
        <v>418</v>
      </c>
      <c r="BC47" s="142">
        <v>0</v>
      </c>
      <c r="BD47" s="142">
        <v>0</v>
      </c>
      <c r="BE47" s="142">
        <v>0</v>
      </c>
      <c r="BF47" s="142">
        <v>0</v>
      </c>
      <c r="BG47" s="142">
        <v>0</v>
      </c>
      <c r="BH47" s="142">
        <v>0.13394215703010601</v>
      </c>
      <c r="BI47" s="142">
        <v>0.49959999999999999</v>
      </c>
      <c r="BJ47" s="142">
        <v>0</v>
      </c>
      <c r="BK47" s="142">
        <v>0.35630000000000001</v>
      </c>
      <c r="BL47" s="142">
        <v>0</v>
      </c>
      <c r="BM47" s="142">
        <v>0</v>
      </c>
      <c r="BN47" s="142">
        <v>5.8400000000000001E-2</v>
      </c>
      <c r="BO47" s="142">
        <v>0</v>
      </c>
      <c r="BP47" s="142">
        <v>1.3299999999999999E-2</v>
      </c>
      <c r="BQ47" s="142">
        <v>0.65590000000000004</v>
      </c>
      <c r="BR47" s="142">
        <v>0.35630000000000001</v>
      </c>
      <c r="BS47" s="142">
        <v>0.29959999999999998</v>
      </c>
      <c r="BT47" s="142">
        <v>1.8</v>
      </c>
      <c r="BU47" s="142">
        <v>32.045000000000002</v>
      </c>
      <c r="BV47" s="142">
        <v>0</v>
      </c>
      <c r="BW47" s="143" t="s">
        <v>419</v>
      </c>
    </row>
    <row r="48" spans="5:75">
      <c r="E48" s="143" t="s">
        <v>344</v>
      </c>
      <c r="F48" s="143" t="s">
        <v>423</v>
      </c>
      <c r="G48" s="143" t="s">
        <v>424</v>
      </c>
      <c r="H48" s="143" t="s">
        <v>500</v>
      </c>
      <c r="I48" s="144" t="s">
        <v>501</v>
      </c>
      <c r="J48" s="144" t="s">
        <v>502</v>
      </c>
      <c r="K48" s="144" t="s">
        <v>519</v>
      </c>
      <c r="L48" s="144" t="s">
        <v>503</v>
      </c>
      <c r="M48" s="145">
        <v>569</v>
      </c>
      <c r="N48" s="146">
        <v>112.5</v>
      </c>
      <c r="O48" s="142" t="s">
        <v>520</v>
      </c>
      <c r="P48" s="143" t="s">
        <v>420</v>
      </c>
      <c r="Q48" s="143" t="s">
        <v>428</v>
      </c>
      <c r="R48" s="147">
        <v>528.687572590012</v>
      </c>
      <c r="S48" s="146">
        <v>243.46</v>
      </c>
      <c r="T48" s="148">
        <v>40269</v>
      </c>
      <c r="U48" s="149"/>
      <c r="V48" s="150">
        <v>15</v>
      </c>
      <c r="W48" s="143" t="s">
        <v>505</v>
      </c>
      <c r="X48" s="143"/>
      <c r="Y48" s="143" t="s">
        <v>501</v>
      </c>
      <c r="Z48" s="143" t="s">
        <v>502</v>
      </c>
      <c r="AA48" s="143"/>
      <c r="AB48" s="143"/>
      <c r="AC48" s="143"/>
      <c r="AD48" s="143" t="s">
        <v>519</v>
      </c>
      <c r="AE48" s="143"/>
      <c r="AF48" s="143" t="s">
        <v>506</v>
      </c>
      <c r="AG48" s="143" t="s">
        <v>503</v>
      </c>
      <c r="AH48" s="143"/>
      <c r="AI48" s="143"/>
      <c r="AJ48" s="151"/>
      <c r="AK48" s="143"/>
      <c r="AL48" s="143"/>
      <c r="AM48" s="143"/>
      <c r="AN48" s="143"/>
      <c r="AO48" s="143"/>
      <c r="AP48" s="143"/>
      <c r="AQ48" s="143"/>
      <c r="AR48" s="143" t="s">
        <v>419</v>
      </c>
      <c r="AS48" s="143"/>
      <c r="AT48" s="143" t="s">
        <v>507</v>
      </c>
      <c r="AU48" s="143"/>
      <c r="AV48" s="143" t="s">
        <v>417</v>
      </c>
      <c r="AW48" s="148"/>
      <c r="AX48" s="148"/>
      <c r="AY48" s="143"/>
      <c r="AZ48" s="143"/>
      <c r="BA48" s="143"/>
      <c r="BB48" s="143" t="s">
        <v>418</v>
      </c>
      <c r="BC48" s="142">
        <v>0</v>
      </c>
      <c r="BD48" s="142">
        <v>0</v>
      </c>
      <c r="BE48" s="142">
        <v>0</v>
      </c>
      <c r="BF48" s="142">
        <v>0</v>
      </c>
      <c r="BG48" s="142">
        <v>0</v>
      </c>
      <c r="BH48" s="142">
        <v>0.21651445329189301</v>
      </c>
      <c r="BI48" s="142">
        <v>0.49959999999999999</v>
      </c>
      <c r="BJ48" s="142">
        <v>0</v>
      </c>
      <c r="BK48" s="142">
        <v>0.4279</v>
      </c>
      <c r="BL48" s="142">
        <v>0</v>
      </c>
      <c r="BM48" s="142">
        <v>0</v>
      </c>
      <c r="BN48" s="142">
        <v>5.8400000000000001E-2</v>
      </c>
      <c r="BO48" s="142">
        <v>0</v>
      </c>
      <c r="BP48" s="142">
        <v>1.3299999999999999E-2</v>
      </c>
      <c r="BQ48" s="142">
        <v>0.65590000000000004</v>
      </c>
      <c r="BR48" s="142">
        <v>0.4279</v>
      </c>
      <c r="BS48" s="142">
        <v>0.2281</v>
      </c>
      <c r="BT48" s="142">
        <v>1.5</v>
      </c>
      <c r="BU48" s="142">
        <v>38.483800000000002</v>
      </c>
      <c r="BV48" s="142">
        <v>0</v>
      </c>
      <c r="BW48" s="143" t="s">
        <v>419</v>
      </c>
    </row>
    <row r="49" spans="5:75">
      <c r="E49" s="143" t="s">
        <v>344</v>
      </c>
      <c r="F49" s="143" t="s">
        <v>423</v>
      </c>
      <c r="G49" s="143" t="s">
        <v>424</v>
      </c>
      <c r="H49" s="143" t="s">
        <v>500</v>
      </c>
      <c r="I49" s="144" t="s">
        <v>501</v>
      </c>
      <c r="J49" s="144" t="s">
        <v>502</v>
      </c>
      <c r="K49" s="144" t="s">
        <v>521</v>
      </c>
      <c r="L49" s="144" t="s">
        <v>503</v>
      </c>
      <c r="M49" s="145">
        <v>725.99999900000205</v>
      </c>
      <c r="N49" s="146">
        <v>150</v>
      </c>
      <c r="O49" s="142" t="s">
        <v>522</v>
      </c>
      <c r="P49" s="143" t="s">
        <v>420</v>
      </c>
      <c r="Q49" s="143" t="s">
        <v>428</v>
      </c>
      <c r="R49" s="147">
        <v>674.56445900116296</v>
      </c>
      <c r="S49" s="146">
        <v>300.19</v>
      </c>
      <c r="T49" s="148">
        <v>40269</v>
      </c>
      <c r="U49" s="149"/>
      <c r="V49" s="150">
        <v>15</v>
      </c>
      <c r="W49" s="143" t="s">
        <v>505</v>
      </c>
      <c r="X49" s="143"/>
      <c r="Y49" s="143" t="s">
        <v>501</v>
      </c>
      <c r="Z49" s="143" t="s">
        <v>502</v>
      </c>
      <c r="AA49" s="143"/>
      <c r="AB49" s="143"/>
      <c r="AC49" s="143"/>
      <c r="AD49" s="143" t="s">
        <v>521</v>
      </c>
      <c r="AE49" s="143"/>
      <c r="AF49" s="143" t="s">
        <v>506</v>
      </c>
      <c r="AG49" s="143" t="s">
        <v>503</v>
      </c>
      <c r="AH49" s="143"/>
      <c r="AI49" s="143"/>
      <c r="AJ49" s="151"/>
      <c r="AK49" s="143"/>
      <c r="AL49" s="143"/>
      <c r="AM49" s="143"/>
      <c r="AN49" s="143"/>
      <c r="AO49" s="143"/>
      <c r="AP49" s="143"/>
      <c r="AQ49" s="143"/>
      <c r="AR49" s="143" t="s">
        <v>419</v>
      </c>
      <c r="AS49" s="143"/>
      <c r="AT49" s="143" t="s">
        <v>507</v>
      </c>
      <c r="AU49" s="143"/>
      <c r="AV49" s="143" t="s">
        <v>417</v>
      </c>
      <c r="AW49" s="148"/>
      <c r="AX49" s="148"/>
      <c r="AY49" s="143"/>
      <c r="AZ49" s="143"/>
      <c r="BA49" s="143"/>
      <c r="BB49" s="143" t="s">
        <v>418</v>
      </c>
      <c r="BC49" s="142">
        <v>0</v>
      </c>
      <c r="BD49" s="142">
        <v>0</v>
      </c>
      <c r="BE49" s="142">
        <v>0</v>
      </c>
      <c r="BF49" s="142">
        <v>0</v>
      </c>
      <c r="BG49" s="142">
        <v>0</v>
      </c>
      <c r="BH49" s="142">
        <v>0.27625569701194802</v>
      </c>
      <c r="BI49" s="142">
        <v>0.49959999999999999</v>
      </c>
      <c r="BJ49" s="142">
        <v>0</v>
      </c>
      <c r="BK49" s="142">
        <v>0.41349999999999998</v>
      </c>
      <c r="BL49" s="142">
        <v>0</v>
      </c>
      <c r="BM49" s="142">
        <v>0</v>
      </c>
      <c r="BN49" s="142">
        <v>5.8400000000000001E-2</v>
      </c>
      <c r="BO49" s="142">
        <v>0</v>
      </c>
      <c r="BP49" s="142">
        <v>1.3299999999999999E-2</v>
      </c>
      <c r="BQ49" s="142">
        <v>0.65590000000000004</v>
      </c>
      <c r="BR49" s="142">
        <v>0.41349999999999998</v>
      </c>
      <c r="BS49" s="142">
        <v>0.24249999999999999</v>
      </c>
      <c r="BT49" s="142">
        <v>1.6</v>
      </c>
      <c r="BU49" s="142">
        <v>37.188600000000001</v>
      </c>
      <c r="BV49" s="142">
        <v>0</v>
      </c>
      <c r="BW49" s="143" t="s">
        <v>419</v>
      </c>
    </row>
    <row r="50" spans="5:75">
      <c r="E50" s="143" t="s">
        <v>344</v>
      </c>
      <c r="F50" s="143" t="s">
        <v>423</v>
      </c>
      <c r="G50" s="143" t="s">
        <v>424</v>
      </c>
      <c r="H50" s="143" t="s">
        <v>500</v>
      </c>
      <c r="I50" s="144" t="s">
        <v>501</v>
      </c>
      <c r="J50" s="144" t="s">
        <v>502</v>
      </c>
      <c r="K50" s="144" t="s">
        <v>426</v>
      </c>
      <c r="L50" s="144" t="s">
        <v>503</v>
      </c>
      <c r="M50" s="145">
        <v>828.99999900000205</v>
      </c>
      <c r="N50" s="146">
        <v>225</v>
      </c>
      <c r="O50" s="142" t="s">
        <v>523</v>
      </c>
      <c r="P50" s="143" t="s">
        <v>420</v>
      </c>
      <c r="Q50" s="143" t="s">
        <v>428</v>
      </c>
      <c r="R50" s="147">
        <v>770.26713031358997</v>
      </c>
      <c r="S50" s="146">
        <v>426.21</v>
      </c>
      <c r="T50" s="148">
        <v>40269</v>
      </c>
      <c r="U50" s="149"/>
      <c r="V50" s="150">
        <v>15</v>
      </c>
      <c r="W50" s="143" t="s">
        <v>505</v>
      </c>
      <c r="X50" s="143"/>
      <c r="Y50" s="143" t="s">
        <v>501</v>
      </c>
      <c r="Z50" s="143" t="s">
        <v>502</v>
      </c>
      <c r="AA50" s="143"/>
      <c r="AB50" s="143"/>
      <c r="AC50" s="143"/>
      <c r="AD50" s="143" t="s">
        <v>426</v>
      </c>
      <c r="AE50" s="143"/>
      <c r="AF50" s="143" t="s">
        <v>506</v>
      </c>
      <c r="AG50" s="143" t="s">
        <v>503</v>
      </c>
      <c r="AH50" s="143"/>
      <c r="AI50" s="143"/>
      <c r="AJ50" s="151"/>
      <c r="AK50" s="143"/>
      <c r="AL50" s="143"/>
      <c r="AM50" s="143"/>
      <c r="AN50" s="143"/>
      <c r="AO50" s="143"/>
      <c r="AP50" s="143"/>
      <c r="AQ50" s="143"/>
      <c r="AR50" s="143" t="s">
        <v>419</v>
      </c>
      <c r="AS50" s="143"/>
      <c r="AT50" s="143" t="s">
        <v>507</v>
      </c>
      <c r="AU50" s="143"/>
      <c r="AV50" s="143" t="s">
        <v>417</v>
      </c>
      <c r="AW50" s="148"/>
      <c r="AX50" s="148"/>
      <c r="AY50" s="143"/>
      <c r="AZ50" s="143"/>
      <c r="BA50" s="143"/>
      <c r="BB50" s="143" t="s">
        <v>418</v>
      </c>
      <c r="BC50" s="142">
        <v>0</v>
      </c>
      <c r="BD50" s="142">
        <v>0</v>
      </c>
      <c r="BE50" s="142">
        <v>0</v>
      </c>
      <c r="BF50" s="142">
        <v>0</v>
      </c>
      <c r="BG50" s="142">
        <v>0</v>
      </c>
      <c r="BH50" s="142">
        <v>0.315448999404907</v>
      </c>
      <c r="BI50" s="142">
        <v>0.49959999999999999</v>
      </c>
      <c r="BJ50" s="142">
        <v>0</v>
      </c>
      <c r="BK50" s="142">
        <v>0.5141</v>
      </c>
      <c r="BL50" s="142">
        <v>0</v>
      </c>
      <c r="BM50" s="142">
        <v>0</v>
      </c>
      <c r="BN50" s="142">
        <v>5.8400000000000001E-2</v>
      </c>
      <c r="BO50" s="142">
        <v>0</v>
      </c>
      <c r="BP50" s="142">
        <v>1.3299999999999999E-2</v>
      </c>
      <c r="BQ50" s="142">
        <v>0.65590000000000004</v>
      </c>
      <c r="BR50" s="142">
        <v>0.5141</v>
      </c>
      <c r="BS50" s="142">
        <v>0.14180000000000001</v>
      </c>
      <c r="BT50" s="142">
        <v>1.3</v>
      </c>
      <c r="BU50" s="142">
        <v>46.241100000000003</v>
      </c>
      <c r="BV50" s="142">
        <v>0</v>
      </c>
      <c r="BW50" s="143" t="s">
        <v>419</v>
      </c>
    </row>
    <row r="51" spans="5:75">
      <c r="E51" s="143" t="s">
        <v>344</v>
      </c>
      <c r="F51" s="143" t="s">
        <v>423</v>
      </c>
      <c r="G51" s="143" t="s">
        <v>424</v>
      </c>
      <c r="H51" s="143" t="s">
        <v>500</v>
      </c>
      <c r="I51" s="144" t="s">
        <v>501</v>
      </c>
      <c r="J51" s="144" t="s">
        <v>502</v>
      </c>
      <c r="K51" s="144" t="s">
        <v>434</v>
      </c>
      <c r="L51" s="144" t="s">
        <v>503</v>
      </c>
      <c r="M51" s="145">
        <v>1084</v>
      </c>
      <c r="N51" s="146">
        <v>300</v>
      </c>
      <c r="O51" s="142" t="s">
        <v>524</v>
      </c>
      <c r="P51" s="143" t="s">
        <v>420</v>
      </c>
      <c r="Q51" s="143" t="s">
        <v>428</v>
      </c>
      <c r="R51" s="147">
        <v>1007.20092915215</v>
      </c>
      <c r="S51" s="146">
        <v>576.19000000000005</v>
      </c>
      <c r="T51" s="148">
        <v>40269</v>
      </c>
      <c r="U51" s="149"/>
      <c r="V51" s="150">
        <v>15</v>
      </c>
      <c r="W51" s="143" t="s">
        <v>505</v>
      </c>
      <c r="X51" s="143"/>
      <c r="Y51" s="143" t="s">
        <v>501</v>
      </c>
      <c r="Z51" s="143" t="s">
        <v>502</v>
      </c>
      <c r="AA51" s="143"/>
      <c r="AB51" s="143"/>
      <c r="AC51" s="143"/>
      <c r="AD51" s="143" t="s">
        <v>434</v>
      </c>
      <c r="AE51" s="143"/>
      <c r="AF51" s="143" t="s">
        <v>506</v>
      </c>
      <c r="AG51" s="143" t="s">
        <v>503</v>
      </c>
      <c r="AH51" s="143"/>
      <c r="AI51" s="143"/>
      <c r="AJ51" s="151"/>
      <c r="AK51" s="143"/>
      <c r="AL51" s="143"/>
      <c r="AM51" s="143"/>
      <c r="AN51" s="143"/>
      <c r="AO51" s="143"/>
      <c r="AP51" s="143"/>
      <c r="AQ51" s="143"/>
      <c r="AR51" s="143" t="s">
        <v>419</v>
      </c>
      <c r="AS51" s="143"/>
      <c r="AT51" s="143" t="s">
        <v>507</v>
      </c>
      <c r="AU51" s="143"/>
      <c r="AV51" s="143" t="s">
        <v>417</v>
      </c>
      <c r="AW51" s="148"/>
      <c r="AX51" s="148"/>
      <c r="AY51" s="143"/>
      <c r="AZ51" s="143"/>
      <c r="BA51" s="143"/>
      <c r="BB51" s="143" t="s">
        <v>418</v>
      </c>
      <c r="BC51" s="142">
        <v>0</v>
      </c>
      <c r="BD51" s="142">
        <v>0</v>
      </c>
      <c r="BE51" s="142">
        <v>0</v>
      </c>
      <c r="BF51" s="142">
        <v>0</v>
      </c>
      <c r="BG51" s="142">
        <v>0</v>
      </c>
      <c r="BH51" s="142">
        <v>0.41248098015785201</v>
      </c>
      <c r="BI51" s="142">
        <v>0.49959999999999999</v>
      </c>
      <c r="BJ51" s="142">
        <v>0</v>
      </c>
      <c r="BK51" s="142">
        <v>0.53149999999999997</v>
      </c>
      <c r="BL51" s="142">
        <v>0</v>
      </c>
      <c r="BM51" s="142">
        <v>0</v>
      </c>
      <c r="BN51" s="142">
        <v>5.8400000000000001E-2</v>
      </c>
      <c r="BO51" s="142">
        <v>0</v>
      </c>
      <c r="BP51" s="142">
        <v>1.3299999999999999E-2</v>
      </c>
      <c r="BQ51" s="142">
        <v>0.65590000000000004</v>
      </c>
      <c r="BR51" s="142">
        <v>0.53149999999999997</v>
      </c>
      <c r="BS51" s="142">
        <v>0.1244</v>
      </c>
      <c r="BT51" s="142">
        <v>1.2</v>
      </c>
      <c r="BU51" s="142">
        <v>47.807299999999998</v>
      </c>
      <c r="BV51" s="142">
        <v>0</v>
      </c>
      <c r="BW51" s="143" t="s">
        <v>419</v>
      </c>
    </row>
    <row r="52" spans="5:75">
      <c r="E52" s="143" t="s">
        <v>344</v>
      </c>
      <c r="F52" s="153" t="s">
        <v>423</v>
      </c>
      <c r="G52" s="143" t="s">
        <v>525</v>
      </c>
      <c r="H52" s="153" t="s">
        <v>526</v>
      </c>
      <c r="I52" s="144" t="s">
        <v>527</v>
      </c>
      <c r="J52" s="144" t="s">
        <v>517</v>
      </c>
      <c r="K52" s="144"/>
      <c r="L52" s="144"/>
      <c r="M52" s="147">
        <v>2180</v>
      </c>
      <c r="N52" s="146">
        <v>400</v>
      </c>
      <c r="O52" s="142" t="s">
        <v>528</v>
      </c>
      <c r="P52" s="143" t="s">
        <v>37</v>
      </c>
      <c r="Q52" s="143" t="s">
        <v>428</v>
      </c>
      <c r="R52" s="147">
        <v>2000</v>
      </c>
      <c r="S52" s="146">
        <v>635</v>
      </c>
      <c r="T52" s="148">
        <v>40087</v>
      </c>
      <c r="U52" s="149"/>
      <c r="V52" s="150">
        <v>10</v>
      </c>
      <c r="W52" s="143"/>
      <c r="X52" s="143"/>
      <c r="Y52" s="143" t="s">
        <v>527</v>
      </c>
      <c r="Z52" s="143"/>
      <c r="AA52" s="143"/>
      <c r="AB52" s="143"/>
      <c r="AC52" s="143"/>
      <c r="AD52" s="143" t="s">
        <v>517</v>
      </c>
      <c r="AE52" s="143"/>
      <c r="AF52" s="143" t="s">
        <v>416</v>
      </c>
      <c r="AG52" s="143"/>
      <c r="AH52" s="143"/>
      <c r="AI52" s="143"/>
      <c r="AJ52" s="143"/>
      <c r="AK52" s="143"/>
      <c r="AL52" s="143"/>
      <c r="AM52" s="143"/>
      <c r="AN52" s="143"/>
      <c r="AO52" s="143"/>
      <c r="AP52" s="143"/>
      <c r="AQ52" s="143" t="s">
        <v>529</v>
      </c>
      <c r="AR52" s="143" t="s">
        <v>39</v>
      </c>
      <c r="AS52" s="143"/>
      <c r="AT52" s="143"/>
      <c r="AU52" s="143"/>
      <c r="AV52" s="143" t="s">
        <v>421</v>
      </c>
      <c r="AW52" s="148"/>
      <c r="AX52" s="148"/>
      <c r="AY52" s="143"/>
      <c r="AZ52" s="143"/>
      <c r="BA52" s="143"/>
      <c r="BB52" s="143" t="s">
        <v>422</v>
      </c>
      <c r="BC52" s="142">
        <v>0</v>
      </c>
      <c r="BD52" s="142">
        <v>0</v>
      </c>
      <c r="BE52" s="142">
        <v>0.48399999999999999</v>
      </c>
      <c r="BF52" s="142">
        <v>0.23799999999999999</v>
      </c>
      <c r="BG52" s="142">
        <v>0.50600000000000001</v>
      </c>
      <c r="BH52" s="142">
        <v>0.49199999999999999</v>
      </c>
      <c r="BI52" s="142">
        <v>0.75700000000000001</v>
      </c>
      <c r="BJ52" s="142">
        <v>0</v>
      </c>
      <c r="BK52" s="142">
        <v>0.44900000000000001</v>
      </c>
      <c r="BL52" s="142">
        <v>0</v>
      </c>
      <c r="BM52" s="142">
        <v>0</v>
      </c>
      <c r="BN52" s="142">
        <v>8.2000000000000003E-2</v>
      </c>
      <c r="BO52" s="142">
        <v>0</v>
      </c>
      <c r="BP52" s="142">
        <v>0</v>
      </c>
      <c r="BQ52" s="142">
        <v>0.90400000000000003</v>
      </c>
      <c r="BR52" s="142">
        <v>0.44900000000000001</v>
      </c>
      <c r="BS52" s="142">
        <v>0.45500000000000002</v>
      </c>
      <c r="BT52" s="142">
        <v>2</v>
      </c>
      <c r="BU52" s="142">
        <v>24.3</v>
      </c>
      <c r="BV52" s="142">
        <v>1.8</v>
      </c>
      <c r="BW52" s="143" t="s">
        <v>419</v>
      </c>
    </row>
    <row r="53" spans="5:75">
      <c r="E53" s="143" t="s">
        <v>344</v>
      </c>
      <c r="F53" s="153" t="s">
        <v>423</v>
      </c>
      <c r="G53" s="143" t="s">
        <v>525</v>
      </c>
      <c r="H53" s="153" t="s">
        <v>526</v>
      </c>
      <c r="I53" s="144" t="s">
        <v>527</v>
      </c>
      <c r="J53" s="144" t="s">
        <v>521</v>
      </c>
      <c r="K53" s="144"/>
      <c r="L53" s="144"/>
      <c r="M53" s="147">
        <v>4361</v>
      </c>
      <c r="N53" s="146">
        <v>800</v>
      </c>
      <c r="O53" s="142" t="s">
        <v>530</v>
      </c>
      <c r="P53" s="143" t="s">
        <v>37</v>
      </c>
      <c r="Q53" s="143" t="s">
        <v>428</v>
      </c>
      <c r="R53" s="147">
        <v>4000</v>
      </c>
      <c r="S53" s="146">
        <v>1270</v>
      </c>
      <c r="T53" s="148">
        <v>40087</v>
      </c>
      <c r="U53" s="149"/>
      <c r="V53" s="150">
        <v>10</v>
      </c>
      <c r="W53" s="143"/>
      <c r="X53" s="143"/>
      <c r="Y53" s="143" t="s">
        <v>527</v>
      </c>
      <c r="Z53" s="143"/>
      <c r="AA53" s="143"/>
      <c r="AB53" s="143"/>
      <c r="AC53" s="143"/>
      <c r="AD53" s="143" t="s">
        <v>521</v>
      </c>
      <c r="AE53" s="143"/>
      <c r="AF53" s="143" t="s">
        <v>416</v>
      </c>
      <c r="AG53" s="143"/>
      <c r="AH53" s="143"/>
      <c r="AI53" s="143"/>
      <c r="AJ53" s="143"/>
      <c r="AK53" s="143"/>
      <c r="AL53" s="143"/>
      <c r="AM53" s="143"/>
      <c r="AN53" s="143"/>
      <c r="AO53" s="143"/>
      <c r="AP53" s="143"/>
      <c r="AQ53" s="143" t="s">
        <v>529</v>
      </c>
      <c r="AR53" s="143" t="s">
        <v>39</v>
      </c>
      <c r="AS53" s="143"/>
      <c r="AT53" s="143"/>
      <c r="AU53" s="143"/>
      <c r="AV53" s="143" t="s">
        <v>421</v>
      </c>
      <c r="AW53" s="148"/>
      <c r="AX53" s="148"/>
      <c r="AY53" s="143"/>
      <c r="AZ53" s="143"/>
      <c r="BA53" s="143"/>
      <c r="BB53" s="143" t="s">
        <v>422</v>
      </c>
      <c r="BC53" s="142">
        <v>0</v>
      </c>
      <c r="BD53" s="142">
        <v>0</v>
      </c>
      <c r="BE53" s="142">
        <v>0.48399999999999999</v>
      </c>
      <c r="BF53" s="142">
        <v>0.47599999999999998</v>
      </c>
      <c r="BG53" s="142">
        <v>0.50600000000000001</v>
      </c>
      <c r="BH53" s="142">
        <v>0.98299999999999998</v>
      </c>
      <c r="BI53" s="142">
        <v>0.75700000000000001</v>
      </c>
      <c r="BJ53" s="142">
        <v>0</v>
      </c>
      <c r="BK53" s="142">
        <v>0.44900000000000001</v>
      </c>
      <c r="BL53" s="142">
        <v>0</v>
      </c>
      <c r="BM53" s="142">
        <v>0</v>
      </c>
      <c r="BN53" s="142">
        <v>8.2000000000000003E-2</v>
      </c>
      <c r="BO53" s="142">
        <v>0</v>
      </c>
      <c r="BP53" s="142">
        <v>0</v>
      </c>
      <c r="BQ53" s="142">
        <v>0.90400000000000003</v>
      </c>
      <c r="BR53" s="142">
        <v>0.44900000000000001</v>
      </c>
      <c r="BS53" s="142">
        <v>0.45500000000000002</v>
      </c>
      <c r="BT53" s="142">
        <v>2</v>
      </c>
      <c r="BU53" s="142">
        <v>24.3</v>
      </c>
      <c r="BV53" s="142">
        <v>3.5</v>
      </c>
      <c r="BW53" s="143" t="s">
        <v>419</v>
      </c>
    </row>
    <row r="54" spans="5:75">
      <c r="E54" s="143" t="s">
        <v>344</v>
      </c>
      <c r="F54" s="153" t="s">
        <v>423</v>
      </c>
      <c r="G54" s="143" t="s">
        <v>525</v>
      </c>
      <c r="H54" s="153" t="s">
        <v>526</v>
      </c>
      <c r="I54" s="144" t="s">
        <v>527</v>
      </c>
      <c r="J54" s="144" t="s">
        <v>426</v>
      </c>
      <c r="K54" s="144"/>
      <c r="L54" s="144"/>
      <c r="M54" s="147">
        <v>6541</v>
      </c>
      <c r="N54" s="146">
        <v>1200</v>
      </c>
      <c r="O54" s="142" t="s">
        <v>531</v>
      </c>
      <c r="P54" s="143" t="s">
        <v>37</v>
      </c>
      <c r="Q54" s="143" t="s">
        <v>428</v>
      </c>
      <c r="R54" s="147">
        <v>6000</v>
      </c>
      <c r="S54" s="146">
        <v>1905</v>
      </c>
      <c r="T54" s="148">
        <v>40087</v>
      </c>
      <c r="U54" s="149"/>
      <c r="V54" s="150">
        <v>10</v>
      </c>
      <c r="W54" s="143"/>
      <c r="X54" s="143"/>
      <c r="Y54" s="143" t="s">
        <v>527</v>
      </c>
      <c r="Z54" s="143"/>
      <c r="AA54" s="143"/>
      <c r="AB54" s="143"/>
      <c r="AC54" s="143"/>
      <c r="AD54" s="143" t="s">
        <v>426</v>
      </c>
      <c r="AE54" s="143"/>
      <c r="AF54" s="143" t="s">
        <v>416</v>
      </c>
      <c r="AG54" s="143"/>
      <c r="AH54" s="143"/>
      <c r="AI54" s="143"/>
      <c r="AJ54" s="143"/>
      <c r="AK54" s="143"/>
      <c r="AL54" s="143"/>
      <c r="AM54" s="143"/>
      <c r="AN54" s="143"/>
      <c r="AO54" s="143"/>
      <c r="AP54" s="143"/>
      <c r="AQ54" s="143" t="s">
        <v>529</v>
      </c>
      <c r="AR54" s="143" t="s">
        <v>39</v>
      </c>
      <c r="AS54" s="143"/>
      <c r="AT54" s="143"/>
      <c r="AU54" s="143"/>
      <c r="AV54" s="143" t="s">
        <v>421</v>
      </c>
      <c r="AW54" s="148"/>
      <c r="AX54" s="148"/>
      <c r="AY54" s="143"/>
      <c r="AZ54" s="143"/>
      <c r="BA54" s="143"/>
      <c r="BB54" s="143" t="s">
        <v>422</v>
      </c>
      <c r="BC54" s="142">
        <v>0</v>
      </c>
      <c r="BD54" s="142">
        <v>0</v>
      </c>
      <c r="BE54" s="142">
        <v>0.48399999999999999</v>
      </c>
      <c r="BF54" s="142">
        <v>0.71399999999999997</v>
      </c>
      <c r="BG54" s="142">
        <v>0.50600000000000001</v>
      </c>
      <c r="BH54" s="142">
        <v>1.4750000000000001</v>
      </c>
      <c r="BI54" s="142">
        <v>0.75700000000000001</v>
      </c>
      <c r="BJ54" s="142">
        <v>0</v>
      </c>
      <c r="BK54" s="142">
        <v>0.44900000000000001</v>
      </c>
      <c r="BL54" s="142">
        <v>0</v>
      </c>
      <c r="BM54" s="142">
        <v>0</v>
      </c>
      <c r="BN54" s="142">
        <v>8.2000000000000003E-2</v>
      </c>
      <c r="BO54" s="142">
        <v>0</v>
      </c>
      <c r="BP54" s="142">
        <v>0</v>
      </c>
      <c r="BQ54" s="142">
        <v>0.90400000000000003</v>
      </c>
      <c r="BR54" s="142">
        <v>0.44900000000000001</v>
      </c>
      <c r="BS54" s="142">
        <v>0.45500000000000002</v>
      </c>
      <c r="BT54" s="142">
        <v>2</v>
      </c>
      <c r="BU54" s="142">
        <v>24.3</v>
      </c>
      <c r="BV54" s="142">
        <v>5.3</v>
      </c>
      <c r="BW54" s="143" t="s">
        <v>419</v>
      </c>
    </row>
    <row r="55" spans="5:75">
      <c r="E55" s="143" t="s">
        <v>344</v>
      </c>
      <c r="F55" s="153" t="s">
        <v>423</v>
      </c>
      <c r="G55" s="143" t="s">
        <v>525</v>
      </c>
      <c r="H55" s="153" t="s">
        <v>526</v>
      </c>
      <c r="I55" s="144" t="s">
        <v>527</v>
      </c>
      <c r="J55" s="144" t="s">
        <v>434</v>
      </c>
      <c r="K55" s="144"/>
      <c r="L55" s="144"/>
      <c r="M55" s="147">
        <v>8721</v>
      </c>
      <c r="N55" s="146">
        <v>1600</v>
      </c>
      <c r="O55" s="142" t="s">
        <v>532</v>
      </c>
      <c r="P55" s="143" t="s">
        <v>37</v>
      </c>
      <c r="Q55" s="143" t="s">
        <v>428</v>
      </c>
      <c r="R55" s="147">
        <v>8000</v>
      </c>
      <c r="S55" s="146">
        <v>2540</v>
      </c>
      <c r="T55" s="148">
        <v>40087</v>
      </c>
      <c r="U55" s="149"/>
      <c r="V55" s="150">
        <v>10</v>
      </c>
      <c r="W55" s="143"/>
      <c r="X55" s="143"/>
      <c r="Y55" s="143" t="s">
        <v>527</v>
      </c>
      <c r="Z55" s="143"/>
      <c r="AA55" s="143"/>
      <c r="AB55" s="143"/>
      <c r="AC55" s="143"/>
      <c r="AD55" s="143" t="s">
        <v>434</v>
      </c>
      <c r="AE55" s="143"/>
      <c r="AF55" s="143" t="s">
        <v>416</v>
      </c>
      <c r="AG55" s="143"/>
      <c r="AH55" s="143"/>
      <c r="AI55" s="143"/>
      <c r="AJ55" s="143"/>
      <c r="AK55" s="143"/>
      <c r="AL55" s="143"/>
      <c r="AM55" s="143"/>
      <c r="AN55" s="143"/>
      <c r="AO55" s="143"/>
      <c r="AP55" s="143"/>
      <c r="AQ55" s="143" t="s">
        <v>529</v>
      </c>
      <c r="AR55" s="143" t="s">
        <v>39</v>
      </c>
      <c r="AS55" s="143"/>
      <c r="AT55" s="143"/>
      <c r="AU55" s="143"/>
      <c r="AV55" s="143" t="s">
        <v>421</v>
      </c>
      <c r="AW55" s="148"/>
      <c r="AX55" s="148"/>
      <c r="AY55" s="143"/>
      <c r="AZ55" s="143"/>
      <c r="BA55" s="143"/>
      <c r="BB55" s="143" t="s">
        <v>422</v>
      </c>
      <c r="BC55" s="142">
        <v>0</v>
      </c>
      <c r="BD55" s="142">
        <v>0</v>
      </c>
      <c r="BE55" s="142">
        <v>0.48399999999999999</v>
      </c>
      <c r="BF55" s="142">
        <v>0.95199999999999996</v>
      </c>
      <c r="BG55" s="142">
        <v>0.50600000000000001</v>
      </c>
      <c r="BH55" s="142">
        <v>1.966</v>
      </c>
      <c r="BI55" s="142">
        <v>0.75700000000000001</v>
      </c>
      <c r="BJ55" s="142">
        <v>0</v>
      </c>
      <c r="BK55" s="142">
        <v>0.44900000000000001</v>
      </c>
      <c r="BL55" s="142">
        <v>0</v>
      </c>
      <c r="BM55" s="142">
        <v>0</v>
      </c>
      <c r="BN55" s="142">
        <v>8.2000000000000003E-2</v>
      </c>
      <c r="BO55" s="142">
        <v>0</v>
      </c>
      <c r="BP55" s="142">
        <v>0</v>
      </c>
      <c r="BQ55" s="142">
        <v>0.90400000000000003</v>
      </c>
      <c r="BR55" s="142">
        <v>0.44900000000000001</v>
      </c>
      <c r="BS55" s="142">
        <v>0.45500000000000002</v>
      </c>
      <c r="BT55" s="142">
        <v>2</v>
      </c>
      <c r="BU55" s="142">
        <v>24.3</v>
      </c>
      <c r="BV55" s="142">
        <v>7.1</v>
      </c>
      <c r="BW55" s="143" t="s">
        <v>419</v>
      </c>
    </row>
    <row r="56" spans="5:75">
      <c r="E56" s="143" t="s">
        <v>344</v>
      </c>
      <c r="F56" s="153" t="s">
        <v>423</v>
      </c>
      <c r="G56" s="143" t="s">
        <v>525</v>
      </c>
      <c r="H56" s="153" t="s">
        <v>526</v>
      </c>
      <c r="I56" s="144" t="s">
        <v>527</v>
      </c>
      <c r="J56" s="144" t="s">
        <v>436</v>
      </c>
      <c r="K56" s="144"/>
      <c r="L56" s="144"/>
      <c r="M56" s="147">
        <v>10902</v>
      </c>
      <c r="N56" s="146">
        <v>2000</v>
      </c>
      <c r="O56" s="142" t="s">
        <v>533</v>
      </c>
      <c r="P56" s="143" t="s">
        <v>37</v>
      </c>
      <c r="Q56" s="143" t="s">
        <v>428</v>
      </c>
      <c r="R56" s="147">
        <v>10000</v>
      </c>
      <c r="S56" s="146">
        <v>3175</v>
      </c>
      <c r="T56" s="148">
        <v>40087</v>
      </c>
      <c r="U56" s="149"/>
      <c r="V56" s="150">
        <v>10</v>
      </c>
      <c r="W56" s="143"/>
      <c r="X56" s="143"/>
      <c r="Y56" s="143" t="s">
        <v>527</v>
      </c>
      <c r="Z56" s="143"/>
      <c r="AA56" s="143"/>
      <c r="AB56" s="143"/>
      <c r="AC56" s="143"/>
      <c r="AD56" s="143" t="s">
        <v>436</v>
      </c>
      <c r="AE56" s="143"/>
      <c r="AF56" s="143" t="s">
        <v>416</v>
      </c>
      <c r="AG56" s="143"/>
      <c r="AH56" s="143"/>
      <c r="AI56" s="143"/>
      <c r="AJ56" s="143"/>
      <c r="AK56" s="143"/>
      <c r="AL56" s="143"/>
      <c r="AM56" s="143"/>
      <c r="AN56" s="143"/>
      <c r="AO56" s="143"/>
      <c r="AP56" s="143"/>
      <c r="AQ56" s="143" t="s">
        <v>529</v>
      </c>
      <c r="AR56" s="143" t="s">
        <v>39</v>
      </c>
      <c r="AS56" s="143"/>
      <c r="AT56" s="143"/>
      <c r="AU56" s="143"/>
      <c r="AV56" s="143" t="s">
        <v>421</v>
      </c>
      <c r="AW56" s="148"/>
      <c r="AX56" s="148"/>
      <c r="AY56" s="143"/>
      <c r="AZ56" s="143"/>
      <c r="BA56" s="143"/>
      <c r="BB56" s="143" t="s">
        <v>422</v>
      </c>
      <c r="BC56" s="142">
        <v>0</v>
      </c>
      <c r="BD56" s="142">
        <v>0</v>
      </c>
      <c r="BE56" s="142">
        <v>0.48399999999999999</v>
      </c>
      <c r="BF56" s="142">
        <v>1.19</v>
      </c>
      <c r="BG56" s="142">
        <v>0.50600000000000001</v>
      </c>
      <c r="BH56" s="142">
        <v>2.4580000000000002</v>
      </c>
      <c r="BI56" s="142">
        <v>0.75700000000000001</v>
      </c>
      <c r="BJ56" s="142">
        <v>0</v>
      </c>
      <c r="BK56" s="142">
        <v>0.44900000000000001</v>
      </c>
      <c r="BL56" s="142">
        <v>0</v>
      </c>
      <c r="BM56" s="142">
        <v>0</v>
      </c>
      <c r="BN56" s="142">
        <v>8.2000000000000003E-2</v>
      </c>
      <c r="BO56" s="142">
        <v>0</v>
      </c>
      <c r="BP56" s="142">
        <v>0</v>
      </c>
      <c r="BQ56" s="142">
        <v>0.90400000000000003</v>
      </c>
      <c r="BR56" s="142">
        <v>0.44900000000000001</v>
      </c>
      <c r="BS56" s="142">
        <v>0.45500000000000002</v>
      </c>
      <c r="BT56" s="142">
        <v>2</v>
      </c>
      <c r="BU56" s="142">
        <v>24.3</v>
      </c>
      <c r="BV56" s="142">
        <v>8.9</v>
      </c>
      <c r="BW56" s="143" t="s">
        <v>419</v>
      </c>
    </row>
    <row r="57" spans="5:75">
      <c r="E57" s="143" t="s">
        <v>344</v>
      </c>
      <c r="F57" s="153" t="s">
        <v>423</v>
      </c>
      <c r="G57" s="143" t="s">
        <v>525</v>
      </c>
      <c r="H57" s="153" t="s">
        <v>526</v>
      </c>
      <c r="I57" s="144" t="s">
        <v>527</v>
      </c>
      <c r="J57" s="144" t="s">
        <v>438</v>
      </c>
      <c r="K57" s="144"/>
      <c r="L57" s="144"/>
      <c r="M57" s="147">
        <v>13082</v>
      </c>
      <c r="N57" s="146">
        <v>2400</v>
      </c>
      <c r="O57" s="142" t="s">
        <v>534</v>
      </c>
      <c r="P57" s="143" t="s">
        <v>37</v>
      </c>
      <c r="Q57" s="143" t="s">
        <v>428</v>
      </c>
      <c r="R57" s="147">
        <v>12000</v>
      </c>
      <c r="S57" s="146">
        <v>3810</v>
      </c>
      <c r="T57" s="148">
        <v>40087</v>
      </c>
      <c r="U57" s="149"/>
      <c r="V57" s="150">
        <v>10</v>
      </c>
      <c r="W57" s="143"/>
      <c r="X57" s="143"/>
      <c r="Y57" s="143" t="s">
        <v>527</v>
      </c>
      <c r="Z57" s="143"/>
      <c r="AA57" s="143"/>
      <c r="AB57" s="143"/>
      <c r="AC57" s="143"/>
      <c r="AD57" s="143" t="s">
        <v>438</v>
      </c>
      <c r="AE57" s="143"/>
      <c r="AF57" s="143" t="s">
        <v>416</v>
      </c>
      <c r="AG57" s="143"/>
      <c r="AH57" s="143"/>
      <c r="AI57" s="143"/>
      <c r="AJ57" s="143"/>
      <c r="AK57" s="143"/>
      <c r="AL57" s="143"/>
      <c r="AM57" s="143"/>
      <c r="AN57" s="143"/>
      <c r="AO57" s="143"/>
      <c r="AP57" s="143"/>
      <c r="AQ57" s="143" t="s">
        <v>529</v>
      </c>
      <c r="AR57" s="143" t="s">
        <v>39</v>
      </c>
      <c r="AS57" s="143"/>
      <c r="AT57" s="143"/>
      <c r="AU57" s="143"/>
      <c r="AV57" s="143" t="s">
        <v>421</v>
      </c>
      <c r="AW57" s="148"/>
      <c r="AX57" s="148"/>
      <c r="AY57" s="143"/>
      <c r="AZ57" s="143"/>
      <c r="BA57" s="143"/>
      <c r="BB57" s="143" t="s">
        <v>422</v>
      </c>
      <c r="BC57" s="142">
        <v>0</v>
      </c>
      <c r="BD57" s="142">
        <v>0</v>
      </c>
      <c r="BE57" s="142">
        <v>0.48399999999999999</v>
      </c>
      <c r="BF57" s="142">
        <v>1.4279999999999999</v>
      </c>
      <c r="BG57" s="142">
        <v>0.50600000000000001</v>
      </c>
      <c r="BH57" s="142">
        <v>2.9489999999999998</v>
      </c>
      <c r="BI57" s="142">
        <v>0.75700000000000001</v>
      </c>
      <c r="BJ57" s="142">
        <v>0</v>
      </c>
      <c r="BK57" s="142">
        <v>0.44900000000000001</v>
      </c>
      <c r="BL57" s="142">
        <v>0</v>
      </c>
      <c r="BM57" s="142">
        <v>0</v>
      </c>
      <c r="BN57" s="142">
        <v>8.2000000000000003E-2</v>
      </c>
      <c r="BO57" s="142">
        <v>0</v>
      </c>
      <c r="BP57" s="142">
        <v>0</v>
      </c>
      <c r="BQ57" s="142">
        <v>0.90400000000000003</v>
      </c>
      <c r="BR57" s="142">
        <v>0.44900000000000001</v>
      </c>
      <c r="BS57" s="142">
        <v>0.45500000000000002</v>
      </c>
      <c r="BT57" s="142">
        <v>2</v>
      </c>
      <c r="BU57" s="142">
        <v>24.3</v>
      </c>
      <c r="BV57" s="142">
        <v>10.6</v>
      </c>
      <c r="BW57" s="143" t="s">
        <v>419</v>
      </c>
    </row>
    <row r="58" spans="5:75">
      <c r="E58" s="143" t="s">
        <v>344</v>
      </c>
      <c r="F58" s="153" t="s">
        <v>423</v>
      </c>
      <c r="G58" s="143" t="s">
        <v>525</v>
      </c>
      <c r="H58" s="153" t="s">
        <v>526</v>
      </c>
      <c r="I58" s="144" t="s">
        <v>527</v>
      </c>
      <c r="J58" s="144" t="s">
        <v>535</v>
      </c>
      <c r="K58" s="144"/>
      <c r="L58" s="144"/>
      <c r="M58" s="147">
        <v>15262</v>
      </c>
      <c r="N58" s="146">
        <v>2800</v>
      </c>
      <c r="O58" s="142" t="s">
        <v>536</v>
      </c>
      <c r="P58" s="143" t="s">
        <v>37</v>
      </c>
      <c r="Q58" s="143" t="s">
        <v>428</v>
      </c>
      <c r="R58" s="147">
        <v>14000</v>
      </c>
      <c r="S58" s="146">
        <v>4445</v>
      </c>
      <c r="T58" s="148">
        <v>40087</v>
      </c>
      <c r="U58" s="149"/>
      <c r="V58" s="150">
        <v>10</v>
      </c>
      <c r="W58" s="143"/>
      <c r="X58" s="143"/>
      <c r="Y58" s="143" t="s">
        <v>527</v>
      </c>
      <c r="Z58" s="143"/>
      <c r="AA58" s="143"/>
      <c r="AB58" s="143"/>
      <c r="AC58" s="143"/>
      <c r="AD58" s="143" t="s">
        <v>535</v>
      </c>
      <c r="AE58" s="143"/>
      <c r="AF58" s="143" t="s">
        <v>416</v>
      </c>
      <c r="AG58" s="143"/>
      <c r="AH58" s="143"/>
      <c r="AI58" s="143"/>
      <c r="AJ58" s="143"/>
      <c r="AK58" s="143"/>
      <c r="AL58" s="143"/>
      <c r="AM58" s="143"/>
      <c r="AN58" s="143"/>
      <c r="AO58" s="143"/>
      <c r="AP58" s="143"/>
      <c r="AQ58" s="143" t="s">
        <v>529</v>
      </c>
      <c r="AR58" s="143" t="s">
        <v>39</v>
      </c>
      <c r="AS58" s="143"/>
      <c r="AT58" s="143"/>
      <c r="AU58" s="143"/>
      <c r="AV58" s="143" t="s">
        <v>421</v>
      </c>
      <c r="AW58" s="148"/>
      <c r="AX58" s="148"/>
      <c r="AY58" s="143"/>
      <c r="AZ58" s="143"/>
      <c r="BA58" s="143"/>
      <c r="BB58" s="143" t="s">
        <v>422</v>
      </c>
      <c r="BC58" s="142">
        <v>0</v>
      </c>
      <c r="BD58" s="142">
        <v>0</v>
      </c>
      <c r="BE58" s="142">
        <v>0.48399999999999999</v>
      </c>
      <c r="BF58" s="142">
        <v>1.667</v>
      </c>
      <c r="BG58" s="142">
        <v>0.50600000000000001</v>
      </c>
      <c r="BH58" s="142">
        <v>3.4409999999999998</v>
      </c>
      <c r="BI58" s="142">
        <v>0.75700000000000001</v>
      </c>
      <c r="BJ58" s="142">
        <v>0</v>
      </c>
      <c r="BK58" s="142">
        <v>0.44900000000000001</v>
      </c>
      <c r="BL58" s="142">
        <v>0</v>
      </c>
      <c r="BM58" s="142">
        <v>0</v>
      </c>
      <c r="BN58" s="142">
        <v>8.2000000000000003E-2</v>
      </c>
      <c r="BO58" s="142">
        <v>0</v>
      </c>
      <c r="BP58" s="142">
        <v>0</v>
      </c>
      <c r="BQ58" s="142">
        <v>0.90400000000000003</v>
      </c>
      <c r="BR58" s="142">
        <v>0.44900000000000001</v>
      </c>
      <c r="BS58" s="142">
        <v>0.45500000000000002</v>
      </c>
      <c r="BT58" s="142">
        <v>2</v>
      </c>
      <c r="BU58" s="142">
        <v>24.3</v>
      </c>
      <c r="BV58" s="142">
        <v>12.4</v>
      </c>
      <c r="BW58" s="143" t="s">
        <v>419</v>
      </c>
    </row>
    <row r="59" spans="5:75">
      <c r="E59" s="143" t="s">
        <v>344</v>
      </c>
      <c r="F59" s="153" t="s">
        <v>423</v>
      </c>
      <c r="G59" s="143" t="s">
        <v>525</v>
      </c>
      <c r="H59" s="153" t="s">
        <v>526</v>
      </c>
      <c r="I59" s="144" t="s">
        <v>527</v>
      </c>
      <c r="J59" s="144" t="s">
        <v>440</v>
      </c>
      <c r="K59" s="144"/>
      <c r="L59" s="144"/>
      <c r="M59" s="147">
        <v>17443</v>
      </c>
      <c r="N59" s="146">
        <v>3200</v>
      </c>
      <c r="O59" s="142" t="s">
        <v>537</v>
      </c>
      <c r="P59" s="143" t="s">
        <v>37</v>
      </c>
      <c r="Q59" s="143" t="s">
        <v>428</v>
      </c>
      <c r="R59" s="147">
        <v>16000</v>
      </c>
      <c r="S59" s="146">
        <v>5080</v>
      </c>
      <c r="T59" s="148">
        <v>40087</v>
      </c>
      <c r="U59" s="149"/>
      <c r="V59" s="150">
        <v>10</v>
      </c>
      <c r="W59" s="143"/>
      <c r="X59" s="143"/>
      <c r="Y59" s="143" t="s">
        <v>527</v>
      </c>
      <c r="Z59" s="143"/>
      <c r="AA59" s="143"/>
      <c r="AB59" s="143"/>
      <c r="AC59" s="143"/>
      <c r="AD59" s="143" t="s">
        <v>440</v>
      </c>
      <c r="AE59" s="143"/>
      <c r="AF59" s="143" t="s">
        <v>416</v>
      </c>
      <c r="AG59" s="143"/>
      <c r="AH59" s="143"/>
      <c r="AI59" s="143"/>
      <c r="AJ59" s="143"/>
      <c r="AK59" s="143"/>
      <c r="AL59" s="143"/>
      <c r="AM59" s="143"/>
      <c r="AN59" s="143"/>
      <c r="AO59" s="143"/>
      <c r="AP59" s="143"/>
      <c r="AQ59" s="143" t="s">
        <v>529</v>
      </c>
      <c r="AR59" s="143" t="s">
        <v>39</v>
      </c>
      <c r="AS59" s="143"/>
      <c r="AT59" s="143"/>
      <c r="AU59" s="143"/>
      <c r="AV59" s="143" t="s">
        <v>421</v>
      </c>
      <c r="AW59" s="148"/>
      <c r="AX59" s="148"/>
      <c r="AY59" s="143"/>
      <c r="AZ59" s="143"/>
      <c r="BA59" s="143"/>
      <c r="BB59" s="143" t="s">
        <v>422</v>
      </c>
      <c r="BC59" s="142">
        <v>0</v>
      </c>
      <c r="BD59" s="142">
        <v>0</v>
      </c>
      <c r="BE59" s="142">
        <v>0.48399999999999999</v>
      </c>
      <c r="BF59" s="142">
        <v>1.905</v>
      </c>
      <c r="BG59" s="142">
        <v>0.50600000000000001</v>
      </c>
      <c r="BH59" s="142">
        <v>3.9319999999999999</v>
      </c>
      <c r="BI59" s="142">
        <v>0.75700000000000001</v>
      </c>
      <c r="BJ59" s="142">
        <v>0</v>
      </c>
      <c r="BK59" s="142">
        <v>0.44900000000000001</v>
      </c>
      <c r="BL59" s="142">
        <v>0</v>
      </c>
      <c r="BM59" s="142">
        <v>0</v>
      </c>
      <c r="BN59" s="142">
        <v>8.2000000000000003E-2</v>
      </c>
      <c r="BO59" s="142">
        <v>0</v>
      </c>
      <c r="BP59" s="142">
        <v>0</v>
      </c>
      <c r="BQ59" s="142">
        <v>0.90400000000000003</v>
      </c>
      <c r="BR59" s="142">
        <v>0.44900000000000001</v>
      </c>
      <c r="BS59" s="142">
        <v>0.45500000000000002</v>
      </c>
      <c r="BT59" s="142">
        <v>2</v>
      </c>
      <c r="BU59" s="142">
        <v>24.3</v>
      </c>
      <c r="BV59" s="142">
        <v>14.2</v>
      </c>
      <c r="BW59" s="143" t="s">
        <v>419</v>
      </c>
    </row>
    <row r="60" spans="5:75">
      <c r="E60" s="143" t="s">
        <v>344</v>
      </c>
      <c r="F60" s="153" t="s">
        <v>423</v>
      </c>
      <c r="G60" s="143" t="s">
        <v>525</v>
      </c>
      <c r="H60" s="153" t="s">
        <v>526</v>
      </c>
      <c r="I60" s="144" t="s">
        <v>527</v>
      </c>
      <c r="J60" s="144" t="s">
        <v>538</v>
      </c>
      <c r="K60" s="144"/>
      <c r="L60" s="144"/>
      <c r="M60" s="147">
        <v>19623</v>
      </c>
      <c r="N60" s="146">
        <v>3600</v>
      </c>
      <c r="O60" s="142" t="s">
        <v>539</v>
      </c>
      <c r="P60" s="143" t="s">
        <v>37</v>
      </c>
      <c r="Q60" s="143" t="s">
        <v>428</v>
      </c>
      <c r="R60" s="147">
        <v>18000</v>
      </c>
      <c r="S60" s="146">
        <v>5715</v>
      </c>
      <c r="T60" s="148">
        <v>40087</v>
      </c>
      <c r="U60" s="149"/>
      <c r="V60" s="150">
        <v>10</v>
      </c>
      <c r="W60" s="143"/>
      <c r="X60" s="143"/>
      <c r="Y60" s="143" t="s">
        <v>527</v>
      </c>
      <c r="Z60" s="143"/>
      <c r="AA60" s="143"/>
      <c r="AB60" s="143"/>
      <c r="AC60" s="143"/>
      <c r="AD60" s="143" t="s">
        <v>538</v>
      </c>
      <c r="AE60" s="143"/>
      <c r="AF60" s="143" t="s">
        <v>416</v>
      </c>
      <c r="AG60" s="143"/>
      <c r="AH60" s="143"/>
      <c r="AI60" s="143"/>
      <c r="AJ60" s="143"/>
      <c r="AK60" s="143"/>
      <c r="AL60" s="143"/>
      <c r="AM60" s="143"/>
      <c r="AN60" s="143"/>
      <c r="AO60" s="143"/>
      <c r="AP60" s="143"/>
      <c r="AQ60" s="143" t="s">
        <v>529</v>
      </c>
      <c r="AR60" s="143" t="s">
        <v>39</v>
      </c>
      <c r="AS60" s="143"/>
      <c r="AT60" s="143"/>
      <c r="AU60" s="143"/>
      <c r="AV60" s="143" t="s">
        <v>421</v>
      </c>
      <c r="AW60" s="148"/>
      <c r="AX60" s="148"/>
      <c r="AY60" s="143"/>
      <c r="AZ60" s="143"/>
      <c r="BA60" s="143"/>
      <c r="BB60" s="143" t="s">
        <v>422</v>
      </c>
      <c r="BC60" s="142">
        <v>0</v>
      </c>
      <c r="BD60" s="142">
        <v>0</v>
      </c>
      <c r="BE60" s="142">
        <v>0.48399999999999999</v>
      </c>
      <c r="BF60" s="142">
        <v>2.1429999999999998</v>
      </c>
      <c r="BG60" s="142">
        <v>0.50600000000000001</v>
      </c>
      <c r="BH60" s="142">
        <v>4.4240000000000004</v>
      </c>
      <c r="BI60" s="142">
        <v>0.75700000000000001</v>
      </c>
      <c r="BJ60" s="142">
        <v>0</v>
      </c>
      <c r="BK60" s="142">
        <v>0.44900000000000001</v>
      </c>
      <c r="BL60" s="142">
        <v>0</v>
      </c>
      <c r="BM60" s="142">
        <v>0</v>
      </c>
      <c r="BN60" s="142">
        <v>8.2000000000000003E-2</v>
      </c>
      <c r="BO60" s="142">
        <v>0</v>
      </c>
      <c r="BP60" s="142">
        <v>0</v>
      </c>
      <c r="BQ60" s="142">
        <v>0.90400000000000003</v>
      </c>
      <c r="BR60" s="142">
        <v>0.44900000000000001</v>
      </c>
      <c r="BS60" s="142">
        <v>0.45500000000000002</v>
      </c>
      <c r="BT60" s="142">
        <v>2</v>
      </c>
      <c r="BU60" s="142">
        <v>24.3</v>
      </c>
      <c r="BV60" s="142">
        <v>15.9</v>
      </c>
      <c r="BW60" s="143" t="s">
        <v>419</v>
      </c>
    </row>
    <row r="61" spans="5:75">
      <c r="E61" s="143" t="s">
        <v>344</v>
      </c>
      <c r="F61" s="153" t="s">
        <v>423</v>
      </c>
      <c r="G61" s="143" t="s">
        <v>525</v>
      </c>
      <c r="H61" s="153" t="s">
        <v>526</v>
      </c>
      <c r="I61" s="144" t="s">
        <v>527</v>
      </c>
      <c r="J61" s="144" t="s">
        <v>442</v>
      </c>
      <c r="K61" s="144"/>
      <c r="L61" s="144"/>
      <c r="M61" s="147">
        <v>21803</v>
      </c>
      <c r="N61" s="146">
        <v>4000</v>
      </c>
      <c r="O61" s="142" t="s">
        <v>540</v>
      </c>
      <c r="P61" s="143" t="s">
        <v>37</v>
      </c>
      <c r="Q61" s="143" t="s">
        <v>428</v>
      </c>
      <c r="R61" s="147">
        <v>20000</v>
      </c>
      <c r="S61" s="146">
        <v>6350</v>
      </c>
      <c r="T61" s="148">
        <v>40087</v>
      </c>
      <c r="U61" s="149"/>
      <c r="V61" s="150">
        <v>10</v>
      </c>
      <c r="W61" s="143"/>
      <c r="X61" s="143"/>
      <c r="Y61" s="143" t="s">
        <v>527</v>
      </c>
      <c r="Z61" s="143"/>
      <c r="AA61" s="143"/>
      <c r="AB61" s="143"/>
      <c r="AC61" s="143"/>
      <c r="AD61" s="143" t="s">
        <v>442</v>
      </c>
      <c r="AE61" s="143"/>
      <c r="AF61" s="143" t="s">
        <v>416</v>
      </c>
      <c r="AG61" s="143"/>
      <c r="AH61" s="143"/>
      <c r="AI61" s="143"/>
      <c r="AJ61" s="143"/>
      <c r="AK61" s="143"/>
      <c r="AL61" s="143"/>
      <c r="AM61" s="143"/>
      <c r="AN61" s="143"/>
      <c r="AO61" s="143"/>
      <c r="AP61" s="143"/>
      <c r="AQ61" s="143" t="s">
        <v>529</v>
      </c>
      <c r="AR61" s="143" t="s">
        <v>39</v>
      </c>
      <c r="AS61" s="143"/>
      <c r="AT61" s="143"/>
      <c r="AU61" s="143"/>
      <c r="AV61" s="143" t="s">
        <v>421</v>
      </c>
      <c r="AW61" s="148"/>
      <c r="AX61" s="148"/>
      <c r="AY61" s="143"/>
      <c r="AZ61" s="143"/>
      <c r="BA61" s="143"/>
      <c r="BB61" s="143" t="s">
        <v>422</v>
      </c>
      <c r="BC61" s="142">
        <v>0</v>
      </c>
      <c r="BD61" s="142">
        <v>0</v>
      </c>
      <c r="BE61" s="142">
        <v>0.48399999999999999</v>
      </c>
      <c r="BF61" s="142">
        <v>2.3809999999999998</v>
      </c>
      <c r="BG61" s="142">
        <v>0.50600000000000001</v>
      </c>
      <c r="BH61" s="142">
        <v>4.915</v>
      </c>
      <c r="BI61" s="142">
        <v>0.75700000000000001</v>
      </c>
      <c r="BJ61" s="142">
        <v>0</v>
      </c>
      <c r="BK61" s="142">
        <v>0.44900000000000001</v>
      </c>
      <c r="BL61" s="142">
        <v>0</v>
      </c>
      <c r="BM61" s="142">
        <v>0</v>
      </c>
      <c r="BN61" s="142">
        <v>8.2000000000000003E-2</v>
      </c>
      <c r="BO61" s="142">
        <v>0</v>
      </c>
      <c r="BP61" s="142">
        <v>0</v>
      </c>
      <c r="BQ61" s="142">
        <v>0.90400000000000003</v>
      </c>
      <c r="BR61" s="142">
        <v>0.44900000000000001</v>
      </c>
      <c r="BS61" s="142">
        <v>0.45500000000000002</v>
      </c>
      <c r="BT61" s="142">
        <v>2</v>
      </c>
      <c r="BU61" s="142">
        <v>24.3</v>
      </c>
      <c r="BV61" s="142">
        <v>17.7</v>
      </c>
      <c r="BW61" s="143" t="s">
        <v>419</v>
      </c>
    </row>
    <row r="62" spans="5:75">
      <c r="E62" s="143" t="s">
        <v>344</v>
      </c>
      <c r="F62" s="153" t="s">
        <v>423</v>
      </c>
      <c r="G62" s="143" t="s">
        <v>525</v>
      </c>
      <c r="H62" s="153" t="s">
        <v>526</v>
      </c>
      <c r="I62" s="144" t="s">
        <v>527</v>
      </c>
      <c r="J62" s="144" t="s">
        <v>541</v>
      </c>
      <c r="K62" s="144"/>
      <c r="L62" s="144"/>
      <c r="M62" s="147">
        <v>23984</v>
      </c>
      <c r="N62" s="146">
        <v>4400</v>
      </c>
      <c r="O62" s="142" t="s">
        <v>542</v>
      </c>
      <c r="P62" s="143" t="s">
        <v>37</v>
      </c>
      <c r="Q62" s="143" t="s">
        <v>428</v>
      </c>
      <c r="R62" s="147">
        <v>22000</v>
      </c>
      <c r="S62" s="146">
        <v>6985</v>
      </c>
      <c r="T62" s="148">
        <v>40087</v>
      </c>
      <c r="U62" s="149"/>
      <c r="V62" s="150">
        <v>10</v>
      </c>
      <c r="W62" s="143"/>
      <c r="X62" s="143"/>
      <c r="Y62" s="143" t="s">
        <v>527</v>
      </c>
      <c r="Z62" s="143"/>
      <c r="AA62" s="143"/>
      <c r="AB62" s="143"/>
      <c r="AC62" s="143"/>
      <c r="AD62" s="143" t="s">
        <v>541</v>
      </c>
      <c r="AE62" s="143"/>
      <c r="AF62" s="143" t="s">
        <v>416</v>
      </c>
      <c r="AG62" s="143"/>
      <c r="AH62" s="143"/>
      <c r="AI62" s="143"/>
      <c r="AJ62" s="143"/>
      <c r="AK62" s="143"/>
      <c r="AL62" s="143"/>
      <c r="AM62" s="143"/>
      <c r="AN62" s="143"/>
      <c r="AO62" s="143"/>
      <c r="AP62" s="143"/>
      <c r="AQ62" s="143" t="s">
        <v>529</v>
      </c>
      <c r="AR62" s="143" t="s">
        <v>39</v>
      </c>
      <c r="AS62" s="143"/>
      <c r="AT62" s="143"/>
      <c r="AU62" s="143"/>
      <c r="AV62" s="143" t="s">
        <v>421</v>
      </c>
      <c r="AW62" s="148"/>
      <c r="AX62" s="148"/>
      <c r="AY62" s="143"/>
      <c r="AZ62" s="143"/>
      <c r="BA62" s="143"/>
      <c r="BB62" s="143" t="s">
        <v>422</v>
      </c>
      <c r="BC62" s="142">
        <v>0</v>
      </c>
      <c r="BD62" s="142">
        <v>0</v>
      </c>
      <c r="BE62" s="142">
        <v>0.48399999999999999</v>
      </c>
      <c r="BF62" s="142">
        <v>2.6190000000000002</v>
      </c>
      <c r="BG62" s="142">
        <v>0.50600000000000001</v>
      </c>
      <c r="BH62" s="142">
        <v>5.407</v>
      </c>
      <c r="BI62" s="142">
        <v>0.75700000000000001</v>
      </c>
      <c r="BJ62" s="142">
        <v>0</v>
      </c>
      <c r="BK62" s="142">
        <v>0.44900000000000001</v>
      </c>
      <c r="BL62" s="142">
        <v>0</v>
      </c>
      <c r="BM62" s="142">
        <v>0</v>
      </c>
      <c r="BN62" s="142">
        <v>8.2000000000000003E-2</v>
      </c>
      <c r="BO62" s="142">
        <v>0</v>
      </c>
      <c r="BP62" s="142">
        <v>0</v>
      </c>
      <c r="BQ62" s="142">
        <v>0.90400000000000003</v>
      </c>
      <c r="BR62" s="142">
        <v>0.44900000000000001</v>
      </c>
      <c r="BS62" s="142">
        <v>0.45500000000000002</v>
      </c>
      <c r="BT62" s="142">
        <v>2</v>
      </c>
      <c r="BU62" s="142">
        <v>24.3</v>
      </c>
      <c r="BV62" s="142">
        <v>19.5</v>
      </c>
      <c r="BW62" s="143" t="s">
        <v>419</v>
      </c>
    </row>
    <row r="63" spans="5:75">
      <c r="E63" s="143" t="s">
        <v>344</v>
      </c>
      <c r="F63" s="153" t="s">
        <v>423</v>
      </c>
      <c r="G63" s="143" t="s">
        <v>525</v>
      </c>
      <c r="H63" s="153" t="s">
        <v>526</v>
      </c>
      <c r="I63" s="144" t="s">
        <v>527</v>
      </c>
      <c r="J63" s="144" t="s">
        <v>444</v>
      </c>
      <c r="K63" s="144"/>
      <c r="L63" s="144"/>
      <c r="M63" s="147">
        <v>26164</v>
      </c>
      <c r="N63" s="146">
        <v>4800</v>
      </c>
      <c r="O63" s="142" t="s">
        <v>543</v>
      </c>
      <c r="P63" s="143" t="s">
        <v>37</v>
      </c>
      <c r="Q63" s="143" t="s">
        <v>428</v>
      </c>
      <c r="R63" s="147">
        <v>24000</v>
      </c>
      <c r="S63" s="146">
        <v>7620</v>
      </c>
      <c r="T63" s="148">
        <v>40087</v>
      </c>
      <c r="U63" s="149"/>
      <c r="V63" s="150">
        <v>10</v>
      </c>
      <c r="W63" s="143"/>
      <c r="X63" s="143"/>
      <c r="Y63" s="143" t="s">
        <v>527</v>
      </c>
      <c r="Z63" s="143"/>
      <c r="AA63" s="143"/>
      <c r="AB63" s="143"/>
      <c r="AC63" s="143"/>
      <c r="AD63" s="143" t="s">
        <v>444</v>
      </c>
      <c r="AE63" s="143"/>
      <c r="AF63" s="143" t="s">
        <v>416</v>
      </c>
      <c r="AG63" s="143"/>
      <c r="AH63" s="143"/>
      <c r="AI63" s="143"/>
      <c r="AJ63" s="143"/>
      <c r="AK63" s="143"/>
      <c r="AL63" s="143"/>
      <c r="AM63" s="143"/>
      <c r="AN63" s="143"/>
      <c r="AO63" s="143"/>
      <c r="AP63" s="143"/>
      <c r="AQ63" s="143" t="s">
        <v>529</v>
      </c>
      <c r="AR63" s="143" t="s">
        <v>39</v>
      </c>
      <c r="AS63" s="143"/>
      <c r="AT63" s="143"/>
      <c r="AU63" s="143"/>
      <c r="AV63" s="143" t="s">
        <v>421</v>
      </c>
      <c r="AW63" s="148"/>
      <c r="AX63" s="148"/>
      <c r="AY63" s="143"/>
      <c r="AZ63" s="143"/>
      <c r="BA63" s="143"/>
      <c r="BB63" s="143" t="s">
        <v>422</v>
      </c>
      <c r="BC63" s="142">
        <v>0</v>
      </c>
      <c r="BD63" s="142">
        <v>0</v>
      </c>
      <c r="BE63" s="142">
        <v>0.48399999999999999</v>
      </c>
      <c r="BF63" s="142">
        <v>2.8570000000000002</v>
      </c>
      <c r="BG63" s="142">
        <v>0.50600000000000001</v>
      </c>
      <c r="BH63" s="142">
        <v>5.8979999999999997</v>
      </c>
      <c r="BI63" s="142">
        <v>0.75700000000000001</v>
      </c>
      <c r="BJ63" s="142">
        <v>0</v>
      </c>
      <c r="BK63" s="142">
        <v>0.44900000000000001</v>
      </c>
      <c r="BL63" s="142">
        <v>0</v>
      </c>
      <c r="BM63" s="142">
        <v>0</v>
      </c>
      <c r="BN63" s="142">
        <v>8.2000000000000003E-2</v>
      </c>
      <c r="BO63" s="142">
        <v>0</v>
      </c>
      <c r="BP63" s="142">
        <v>0</v>
      </c>
      <c r="BQ63" s="142">
        <v>0.90400000000000003</v>
      </c>
      <c r="BR63" s="142">
        <v>0.44900000000000001</v>
      </c>
      <c r="BS63" s="142">
        <v>0.45500000000000002</v>
      </c>
      <c r="BT63" s="142">
        <v>2</v>
      </c>
      <c r="BU63" s="142">
        <v>24.3</v>
      </c>
      <c r="BV63" s="142">
        <v>21.3</v>
      </c>
      <c r="BW63" s="143" t="s">
        <v>419</v>
      </c>
    </row>
    <row r="64" spans="5:75">
      <c r="E64" s="143" t="s">
        <v>344</v>
      </c>
      <c r="F64" s="153" t="s">
        <v>423</v>
      </c>
      <c r="G64" s="143" t="s">
        <v>525</v>
      </c>
      <c r="H64" s="153" t="s">
        <v>526</v>
      </c>
      <c r="I64" s="144" t="s">
        <v>527</v>
      </c>
      <c r="J64" s="144" t="s">
        <v>544</v>
      </c>
      <c r="K64" s="144"/>
      <c r="L64" s="144"/>
      <c r="M64" s="147">
        <v>28344</v>
      </c>
      <c r="N64" s="146">
        <v>5200</v>
      </c>
      <c r="O64" s="142" t="s">
        <v>545</v>
      </c>
      <c r="P64" s="143" t="s">
        <v>37</v>
      </c>
      <c r="Q64" s="143" t="s">
        <v>428</v>
      </c>
      <c r="R64" s="147">
        <v>26000</v>
      </c>
      <c r="S64" s="146">
        <v>8255</v>
      </c>
      <c r="T64" s="148">
        <v>40087</v>
      </c>
      <c r="U64" s="149"/>
      <c r="V64" s="150">
        <v>10</v>
      </c>
      <c r="W64" s="143"/>
      <c r="X64" s="143"/>
      <c r="Y64" s="143" t="s">
        <v>527</v>
      </c>
      <c r="Z64" s="143"/>
      <c r="AA64" s="143"/>
      <c r="AB64" s="143"/>
      <c r="AC64" s="143"/>
      <c r="AD64" s="143" t="s">
        <v>544</v>
      </c>
      <c r="AE64" s="143"/>
      <c r="AF64" s="143" t="s">
        <v>416</v>
      </c>
      <c r="AG64" s="143"/>
      <c r="AH64" s="143"/>
      <c r="AI64" s="143"/>
      <c r="AJ64" s="143"/>
      <c r="AK64" s="143"/>
      <c r="AL64" s="143"/>
      <c r="AM64" s="143"/>
      <c r="AN64" s="143"/>
      <c r="AO64" s="143"/>
      <c r="AP64" s="143"/>
      <c r="AQ64" s="143" t="s">
        <v>529</v>
      </c>
      <c r="AR64" s="143" t="s">
        <v>39</v>
      </c>
      <c r="AS64" s="143"/>
      <c r="AT64" s="143"/>
      <c r="AU64" s="143"/>
      <c r="AV64" s="143" t="s">
        <v>421</v>
      </c>
      <c r="AW64" s="148"/>
      <c r="AX64" s="148"/>
      <c r="AY64" s="143"/>
      <c r="AZ64" s="143"/>
      <c r="BA64" s="143"/>
      <c r="BB64" s="143" t="s">
        <v>422</v>
      </c>
      <c r="BC64" s="142">
        <v>0</v>
      </c>
      <c r="BD64" s="142">
        <v>0</v>
      </c>
      <c r="BE64" s="142">
        <v>0.48399999999999999</v>
      </c>
      <c r="BF64" s="142">
        <v>3.0950000000000002</v>
      </c>
      <c r="BG64" s="142">
        <v>0.50600000000000001</v>
      </c>
      <c r="BH64" s="142">
        <v>6.39</v>
      </c>
      <c r="BI64" s="142">
        <v>0.75700000000000001</v>
      </c>
      <c r="BJ64" s="142">
        <v>0</v>
      </c>
      <c r="BK64" s="142">
        <v>0.44900000000000001</v>
      </c>
      <c r="BL64" s="142">
        <v>0</v>
      </c>
      <c r="BM64" s="142">
        <v>0</v>
      </c>
      <c r="BN64" s="142">
        <v>8.2000000000000003E-2</v>
      </c>
      <c r="BO64" s="142">
        <v>0</v>
      </c>
      <c r="BP64" s="142">
        <v>0</v>
      </c>
      <c r="BQ64" s="142">
        <v>0.90400000000000003</v>
      </c>
      <c r="BR64" s="142">
        <v>0.44900000000000001</v>
      </c>
      <c r="BS64" s="142">
        <v>0.45500000000000002</v>
      </c>
      <c r="BT64" s="142">
        <v>2</v>
      </c>
      <c r="BU64" s="142">
        <v>24.3</v>
      </c>
      <c r="BV64" s="142">
        <v>23</v>
      </c>
      <c r="BW64" s="143" t="s">
        <v>419</v>
      </c>
    </row>
    <row r="65" spans="5:75">
      <c r="E65" s="143" t="s">
        <v>344</v>
      </c>
      <c r="F65" s="153" t="s">
        <v>423</v>
      </c>
      <c r="G65" s="143" t="s">
        <v>525</v>
      </c>
      <c r="H65" s="153" t="s">
        <v>526</v>
      </c>
      <c r="I65" s="144" t="s">
        <v>527</v>
      </c>
      <c r="J65" s="144" t="s">
        <v>546</v>
      </c>
      <c r="K65" s="144"/>
      <c r="L65" s="144"/>
      <c r="M65" s="147">
        <v>30525</v>
      </c>
      <c r="N65" s="146">
        <v>5600</v>
      </c>
      <c r="O65" s="142" t="s">
        <v>547</v>
      </c>
      <c r="P65" s="143" t="s">
        <v>37</v>
      </c>
      <c r="Q65" s="143" t="s">
        <v>428</v>
      </c>
      <c r="R65" s="147">
        <v>28000</v>
      </c>
      <c r="S65" s="146">
        <v>8890</v>
      </c>
      <c r="T65" s="148">
        <v>40087</v>
      </c>
      <c r="U65" s="149"/>
      <c r="V65" s="150">
        <v>10</v>
      </c>
      <c r="W65" s="143"/>
      <c r="X65" s="143"/>
      <c r="Y65" s="143" t="s">
        <v>527</v>
      </c>
      <c r="Z65" s="143"/>
      <c r="AA65" s="143"/>
      <c r="AB65" s="143"/>
      <c r="AC65" s="143"/>
      <c r="AD65" s="143" t="s">
        <v>546</v>
      </c>
      <c r="AE65" s="143"/>
      <c r="AF65" s="143" t="s">
        <v>416</v>
      </c>
      <c r="AG65" s="143"/>
      <c r="AH65" s="143"/>
      <c r="AI65" s="143"/>
      <c r="AJ65" s="143"/>
      <c r="AK65" s="143"/>
      <c r="AL65" s="143"/>
      <c r="AM65" s="143"/>
      <c r="AN65" s="143"/>
      <c r="AO65" s="143"/>
      <c r="AP65" s="143"/>
      <c r="AQ65" s="143" t="s">
        <v>529</v>
      </c>
      <c r="AR65" s="143" t="s">
        <v>39</v>
      </c>
      <c r="AS65" s="143"/>
      <c r="AT65" s="143"/>
      <c r="AU65" s="143"/>
      <c r="AV65" s="143" t="s">
        <v>421</v>
      </c>
      <c r="AW65" s="148"/>
      <c r="AX65" s="148"/>
      <c r="AY65" s="143"/>
      <c r="AZ65" s="143"/>
      <c r="BA65" s="143"/>
      <c r="BB65" s="143" t="s">
        <v>422</v>
      </c>
      <c r="BC65" s="142">
        <v>0</v>
      </c>
      <c r="BD65" s="142">
        <v>0</v>
      </c>
      <c r="BE65" s="142">
        <v>0.48399999999999999</v>
      </c>
      <c r="BF65" s="142">
        <v>3.3330000000000002</v>
      </c>
      <c r="BG65" s="142">
        <v>0.50600000000000001</v>
      </c>
      <c r="BH65" s="142">
        <v>6.8810000000000002</v>
      </c>
      <c r="BI65" s="142">
        <v>0.75700000000000001</v>
      </c>
      <c r="BJ65" s="142">
        <v>0</v>
      </c>
      <c r="BK65" s="142">
        <v>0.44900000000000001</v>
      </c>
      <c r="BL65" s="142">
        <v>0</v>
      </c>
      <c r="BM65" s="142">
        <v>0</v>
      </c>
      <c r="BN65" s="142">
        <v>8.2000000000000003E-2</v>
      </c>
      <c r="BO65" s="142">
        <v>0</v>
      </c>
      <c r="BP65" s="142">
        <v>0</v>
      </c>
      <c r="BQ65" s="142">
        <v>0.90400000000000003</v>
      </c>
      <c r="BR65" s="142">
        <v>0.44900000000000001</v>
      </c>
      <c r="BS65" s="142">
        <v>0.45500000000000002</v>
      </c>
      <c r="BT65" s="142">
        <v>2</v>
      </c>
      <c r="BU65" s="142">
        <v>24.3</v>
      </c>
      <c r="BV65" s="142">
        <v>24.8</v>
      </c>
      <c r="BW65" s="143" t="s">
        <v>419</v>
      </c>
    </row>
    <row r="66" spans="5:75">
      <c r="E66" s="143" t="s">
        <v>344</v>
      </c>
      <c r="F66" s="153" t="s">
        <v>423</v>
      </c>
      <c r="G66" s="143" t="s">
        <v>525</v>
      </c>
      <c r="H66" s="153" t="s">
        <v>526</v>
      </c>
      <c r="I66" s="144" t="s">
        <v>527</v>
      </c>
      <c r="J66" s="144" t="s">
        <v>446</v>
      </c>
      <c r="K66" s="144"/>
      <c r="L66" s="144"/>
      <c r="M66" s="147">
        <v>32705</v>
      </c>
      <c r="N66" s="146">
        <v>6000</v>
      </c>
      <c r="O66" s="142" t="s">
        <v>548</v>
      </c>
      <c r="P66" s="143" t="s">
        <v>37</v>
      </c>
      <c r="Q66" s="143" t="s">
        <v>428</v>
      </c>
      <c r="R66" s="147">
        <v>30000</v>
      </c>
      <c r="S66" s="146">
        <v>9525</v>
      </c>
      <c r="T66" s="148">
        <v>40087</v>
      </c>
      <c r="U66" s="149"/>
      <c r="V66" s="150">
        <v>10</v>
      </c>
      <c r="W66" s="143"/>
      <c r="X66" s="143"/>
      <c r="Y66" s="143" t="s">
        <v>527</v>
      </c>
      <c r="Z66" s="143"/>
      <c r="AA66" s="143"/>
      <c r="AB66" s="143"/>
      <c r="AC66" s="143"/>
      <c r="AD66" s="143" t="s">
        <v>446</v>
      </c>
      <c r="AE66" s="143"/>
      <c r="AF66" s="143" t="s">
        <v>416</v>
      </c>
      <c r="AG66" s="143"/>
      <c r="AH66" s="143"/>
      <c r="AI66" s="143"/>
      <c r="AJ66" s="143"/>
      <c r="AK66" s="143"/>
      <c r="AL66" s="143"/>
      <c r="AM66" s="143"/>
      <c r="AN66" s="143"/>
      <c r="AO66" s="143"/>
      <c r="AP66" s="143"/>
      <c r="AQ66" s="143" t="s">
        <v>529</v>
      </c>
      <c r="AR66" s="143" t="s">
        <v>39</v>
      </c>
      <c r="AS66" s="143"/>
      <c r="AT66" s="143"/>
      <c r="AU66" s="143"/>
      <c r="AV66" s="143" t="s">
        <v>421</v>
      </c>
      <c r="AW66" s="148"/>
      <c r="AX66" s="148"/>
      <c r="AY66" s="143"/>
      <c r="AZ66" s="143"/>
      <c r="BA66" s="143"/>
      <c r="BB66" s="143" t="s">
        <v>422</v>
      </c>
      <c r="BC66" s="142">
        <v>0</v>
      </c>
      <c r="BD66" s="142">
        <v>0</v>
      </c>
      <c r="BE66" s="142">
        <v>0.48399999999999999</v>
      </c>
      <c r="BF66" s="142">
        <v>3.5710000000000002</v>
      </c>
      <c r="BG66" s="142">
        <v>0.50600000000000001</v>
      </c>
      <c r="BH66" s="142">
        <v>7.3730000000000002</v>
      </c>
      <c r="BI66" s="142">
        <v>0.75700000000000001</v>
      </c>
      <c r="BJ66" s="142">
        <v>0</v>
      </c>
      <c r="BK66" s="142">
        <v>0.44900000000000001</v>
      </c>
      <c r="BL66" s="142">
        <v>0</v>
      </c>
      <c r="BM66" s="142">
        <v>0</v>
      </c>
      <c r="BN66" s="142">
        <v>8.2000000000000003E-2</v>
      </c>
      <c r="BO66" s="142">
        <v>0</v>
      </c>
      <c r="BP66" s="142">
        <v>0</v>
      </c>
      <c r="BQ66" s="142">
        <v>0.90400000000000003</v>
      </c>
      <c r="BR66" s="142">
        <v>0.44900000000000001</v>
      </c>
      <c r="BS66" s="142">
        <v>0.45500000000000002</v>
      </c>
      <c r="BT66" s="142">
        <v>2</v>
      </c>
      <c r="BU66" s="142">
        <v>24.3</v>
      </c>
      <c r="BV66" s="142">
        <v>26.6</v>
      </c>
      <c r="BW66" s="143" t="s">
        <v>419</v>
      </c>
    </row>
    <row r="67" spans="5:75">
      <c r="E67" s="143" t="s">
        <v>344</v>
      </c>
      <c r="F67" s="153" t="s">
        <v>423</v>
      </c>
      <c r="G67" s="143" t="s">
        <v>525</v>
      </c>
      <c r="H67" s="153" t="s">
        <v>526</v>
      </c>
      <c r="I67" s="144" t="s">
        <v>527</v>
      </c>
      <c r="J67" s="144" t="s">
        <v>549</v>
      </c>
      <c r="K67" s="144"/>
      <c r="L67" s="144"/>
      <c r="M67" s="147">
        <v>34885</v>
      </c>
      <c r="N67" s="146">
        <v>6400</v>
      </c>
      <c r="O67" s="142" t="s">
        <v>550</v>
      </c>
      <c r="P67" s="143" t="s">
        <v>37</v>
      </c>
      <c r="Q67" s="143" t="s">
        <v>428</v>
      </c>
      <c r="R67" s="147">
        <v>32000</v>
      </c>
      <c r="S67" s="146">
        <v>10160</v>
      </c>
      <c r="T67" s="148">
        <v>40087</v>
      </c>
      <c r="U67" s="149"/>
      <c r="V67" s="150">
        <v>10</v>
      </c>
      <c r="W67" s="143"/>
      <c r="X67" s="143"/>
      <c r="Y67" s="143" t="s">
        <v>527</v>
      </c>
      <c r="Z67" s="143"/>
      <c r="AA67" s="143"/>
      <c r="AB67" s="143"/>
      <c r="AC67" s="143"/>
      <c r="AD67" s="143" t="s">
        <v>549</v>
      </c>
      <c r="AE67" s="143"/>
      <c r="AF67" s="143" t="s">
        <v>416</v>
      </c>
      <c r="AG67" s="143"/>
      <c r="AH67" s="143"/>
      <c r="AI67" s="143"/>
      <c r="AJ67" s="143"/>
      <c r="AK67" s="143"/>
      <c r="AL67" s="143"/>
      <c r="AM67" s="143"/>
      <c r="AN67" s="143"/>
      <c r="AO67" s="143"/>
      <c r="AP67" s="143"/>
      <c r="AQ67" s="143" t="s">
        <v>529</v>
      </c>
      <c r="AR67" s="143" t="s">
        <v>39</v>
      </c>
      <c r="AS67" s="143"/>
      <c r="AT67" s="143"/>
      <c r="AU67" s="143"/>
      <c r="AV67" s="143" t="s">
        <v>421</v>
      </c>
      <c r="AW67" s="148"/>
      <c r="AX67" s="148"/>
      <c r="AY67" s="143"/>
      <c r="AZ67" s="143"/>
      <c r="BA67" s="143"/>
      <c r="BB67" s="143" t="s">
        <v>422</v>
      </c>
      <c r="BC67" s="142">
        <v>0</v>
      </c>
      <c r="BD67" s="142">
        <v>0</v>
      </c>
      <c r="BE67" s="142">
        <v>0.48399999999999999</v>
      </c>
      <c r="BF67" s="142">
        <v>3.8090000000000002</v>
      </c>
      <c r="BG67" s="142">
        <v>0.50600000000000001</v>
      </c>
      <c r="BH67" s="142">
        <v>7.8639999999999999</v>
      </c>
      <c r="BI67" s="142">
        <v>0.75700000000000001</v>
      </c>
      <c r="BJ67" s="142">
        <v>0</v>
      </c>
      <c r="BK67" s="142">
        <v>0.44900000000000001</v>
      </c>
      <c r="BL67" s="142">
        <v>0</v>
      </c>
      <c r="BM67" s="142">
        <v>0</v>
      </c>
      <c r="BN67" s="142">
        <v>8.2000000000000003E-2</v>
      </c>
      <c r="BO67" s="142">
        <v>0</v>
      </c>
      <c r="BP67" s="142">
        <v>0</v>
      </c>
      <c r="BQ67" s="142">
        <v>0.90400000000000003</v>
      </c>
      <c r="BR67" s="142">
        <v>0.44900000000000001</v>
      </c>
      <c r="BS67" s="142">
        <v>0.45500000000000002</v>
      </c>
      <c r="BT67" s="142">
        <v>2</v>
      </c>
      <c r="BU67" s="142">
        <v>24.3</v>
      </c>
      <c r="BV67" s="142">
        <v>28.3</v>
      </c>
      <c r="BW67" s="143" t="s">
        <v>419</v>
      </c>
    </row>
    <row r="68" spans="5:75">
      <c r="E68" s="143" t="s">
        <v>344</v>
      </c>
      <c r="F68" s="153" t="s">
        <v>423</v>
      </c>
      <c r="G68" s="143" t="s">
        <v>525</v>
      </c>
      <c r="H68" s="153" t="s">
        <v>526</v>
      </c>
      <c r="I68" s="144" t="s">
        <v>527</v>
      </c>
      <c r="J68" s="144" t="s">
        <v>551</v>
      </c>
      <c r="K68" s="144"/>
      <c r="L68" s="144"/>
      <c r="M68" s="147">
        <v>37066</v>
      </c>
      <c r="N68" s="146">
        <v>6800</v>
      </c>
      <c r="O68" s="142" t="s">
        <v>552</v>
      </c>
      <c r="P68" s="143" t="s">
        <v>37</v>
      </c>
      <c r="Q68" s="143" t="s">
        <v>428</v>
      </c>
      <c r="R68" s="147">
        <v>34000</v>
      </c>
      <c r="S68" s="146">
        <v>10795</v>
      </c>
      <c r="T68" s="148">
        <v>40087</v>
      </c>
      <c r="U68" s="149"/>
      <c r="V68" s="150">
        <v>10</v>
      </c>
      <c r="W68" s="143"/>
      <c r="X68" s="143"/>
      <c r="Y68" s="143" t="s">
        <v>527</v>
      </c>
      <c r="Z68" s="143"/>
      <c r="AA68" s="143"/>
      <c r="AB68" s="143"/>
      <c r="AC68" s="143"/>
      <c r="AD68" s="143" t="s">
        <v>551</v>
      </c>
      <c r="AE68" s="143"/>
      <c r="AF68" s="143" t="s">
        <v>416</v>
      </c>
      <c r="AG68" s="143"/>
      <c r="AH68" s="143"/>
      <c r="AI68" s="143"/>
      <c r="AJ68" s="143"/>
      <c r="AK68" s="143"/>
      <c r="AL68" s="143"/>
      <c r="AM68" s="143"/>
      <c r="AN68" s="143"/>
      <c r="AO68" s="143"/>
      <c r="AP68" s="143"/>
      <c r="AQ68" s="143" t="s">
        <v>529</v>
      </c>
      <c r="AR68" s="143" t="s">
        <v>39</v>
      </c>
      <c r="AS68" s="143"/>
      <c r="AT68" s="143"/>
      <c r="AU68" s="143"/>
      <c r="AV68" s="143" t="s">
        <v>421</v>
      </c>
      <c r="AW68" s="148"/>
      <c r="AX68" s="148"/>
      <c r="AY68" s="143"/>
      <c r="AZ68" s="143"/>
      <c r="BA68" s="143"/>
      <c r="BB68" s="143" t="s">
        <v>422</v>
      </c>
      <c r="BC68" s="142">
        <v>0</v>
      </c>
      <c r="BD68" s="142">
        <v>0</v>
      </c>
      <c r="BE68" s="142">
        <v>0.48399999999999999</v>
      </c>
      <c r="BF68" s="142">
        <v>4.0469999999999997</v>
      </c>
      <c r="BG68" s="142">
        <v>0.50600000000000001</v>
      </c>
      <c r="BH68" s="142">
        <v>8.3559999999999999</v>
      </c>
      <c r="BI68" s="142">
        <v>0.75700000000000001</v>
      </c>
      <c r="BJ68" s="142">
        <v>0</v>
      </c>
      <c r="BK68" s="142">
        <v>0.44900000000000001</v>
      </c>
      <c r="BL68" s="142">
        <v>0</v>
      </c>
      <c r="BM68" s="142">
        <v>0</v>
      </c>
      <c r="BN68" s="142">
        <v>8.2000000000000003E-2</v>
      </c>
      <c r="BO68" s="142">
        <v>0</v>
      </c>
      <c r="BP68" s="142">
        <v>0</v>
      </c>
      <c r="BQ68" s="142">
        <v>0.90400000000000003</v>
      </c>
      <c r="BR68" s="142">
        <v>0.44900000000000001</v>
      </c>
      <c r="BS68" s="142">
        <v>0.45500000000000002</v>
      </c>
      <c r="BT68" s="142">
        <v>2</v>
      </c>
      <c r="BU68" s="142">
        <v>24.3</v>
      </c>
      <c r="BV68" s="142">
        <v>30.1</v>
      </c>
      <c r="BW68" s="143" t="s">
        <v>419</v>
      </c>
    </row>
    <row r="69" spans="5:75">
      <c r="E69" s="143" t="s">
        <v>344</v>
      </c>
      <c r="F69" s="153" t="s">
        <v>423</v>
      </c>
      <c r="G69" s="143" t="s">
        <v>525</v>
      </c>
      <c r="H69" s="153" t="s">
        <v>526</v>
      </c>
      <c r="I69" s="144" t="s">
        <v>527</v>
      </c>
      <c r="J69" s="144" t="s">
        <v>553</v>
      </c>
      <c r="K69" s="144"/>
      <c r="L69" s="144"/>
      <c r="M69" s="147">
        <v>39246</v>
      </c>
      <c r="N69" s="146">
        <v>7200</v>
      </c>
      <c r="O69" s="142" t="s">
        <v>554</v>
      </c>
      <c r="P69" s="143" t="s">
        <v>37</v>
      </c>
      <c r="Q69" s="143" t="s">
        <v>428</v>
      </c>
      <c r="R69" s="147">
        <v>36000</v>
      </c>
      <c r="S69" s="146">
        <v>11430</v>
      </c>
      <c r="T69" s="148">
        <v>40087</v>
      </c>
      <c r="U69" s="149"/>
      <c r="V69" s="150">
        <v>10</v>
      </c>
      <c r="W69" s="143"/>
      <c r="X69" s="143"/>
      <c r="Y69" s="143" t="s">
        <v>527</v>
      </c>
      <c r="Z69" s="143"/>
      <c r="AA69" s="143"/>
      <c r="AB69" s="143"/>
      <c r="AC69" s="143"/>
      <c r="AD69" s="143" t="s">
        <v>553</v>
      </c>
      <c r="AE69" s="143"/>
      <c r="AF69" s="143" t="s">
        <v>416</v>
      </c>
      <c r="AG69" s="143"/>
      <c r="AH69" s="143"/>
      <c r="AI69" s="143"/>
      <c r="AJ69" s="143"/>
      <c r="AK69" s="143"/>
      <c r="AL69" s="143"/>
      <c r="AM69" s="143"/>
      <c r="AN69" s="143"/>
      <c r="AO69" s="143"/>
      <c r="AP69" s="143"/>
      <c r="AQ69" s="143" t="s">
        <v>529</v>
      </c>
      <c r="AR69" s="143" t="s">
        <v>39</v>
      </c>
      <c r="AS69" s="143"/>
      <c r="AT69" s="143"/>
      <c r="AU69" s="143"/>
      <c r="AV69" s="143" t="s">
        <v>421</v>
      </c>
      <c r="AW69" s="148"/>
      <c r="AX69" s="148"/>
      <c r="AY69" s="143"/>
      <c r="AZ69" s="143"/>
      <c r="BA69" s="143"/>
      <c r="BB69" s="143" t="s">
        <v>422</v>
      </c>
      <c r="BC69" s="142">
        <v>0</v>
      </c>
      <c r="BD69" s="142">
        <v>0</v>
      </c>
      <c r="BE69" s="142">
        <v>0.48399999999999999</v>
      </c>
      <c r="BF69" s="142">
        <v>4.2850000000000001</v>
      </c>
      <c r="BG69" s="142">
        <v>0.50600000000000001</v>
      </c>
      <c r="BH69" s="142">
        <v>8.8469999999999995</v>
      </c>
      <c r="BI69" s="142">
        <v>0.75700000000000001</v>
      </c>
      <c r="BJ69" s="142">
        <v>0</v>
      </c>
      <c r="BK69" s="142">
        <v>0.44900000000000001</v>
      </c>
      <c r="BL69" s="142">
        <v>0</v>
      </c>
      <c r="BM69" s="142">
        <v>0</v>
      </c>
      <c r="BN69" s="142">
        <v>8.2000000000000003E-2</v>
      </c>
      <c r="BO69" s="142">
        <v>0</v>
      </c>
      <c r="BP69" s="142">
        <v>0</v>
      </c>
      <c r="BQ69" s="142">
        <v>0.90400000000000003</v>
      </c>
      <c r="BR69" s="142">
        <v>0.44900000000000001</v>
      </c>
      <c r="BS69" s="142">
        <v>0.45500000000000002</v>
      </c>
      <c r="BT69" s="142">
        <v>2</v>
      </c>
      <c r="BU69" s="142">
        <v>24.3</v>
      </c>
      <c r="BV69" s="142">
        <v>31.9</v>
      </c>
      <c r="BW69" s="143" t="s">
        <v>419</v>
      </c>
    </row>
    <row r="70" spans="5:75">
      <c r="E70" s="143" t="s">
        <v>344</v>
      </c>
      <c r="F70" s="153" t="s">
        <v>423</v>
      </c>
      <c r="G70" s="143" t="s">
        <v>525</v>
      </c>
      <c r="H70" s="153" t="s">
        <v>526</v>
      </c>
      <c r="I70" s="144" t="s">
        <v>527</v>
      </c>
      <c r="J70" s="144" t="s">
        <v>555</v>
      </c>
      <c r="K70" s="144"/>
      <c r="L70" s="144"/>
      <c r="M70" s="147">
        <v>41426</v>
      </c>
      <c r="N70" s="146">
        <v>7600</v>
      </c>
      <c r="O70" s="142" t="s">
        <v>556</v>
      </c>
      <c r="P70" s="143" t="s">
        <v>37</v>
      </c>
      <c r="Q70" s="143" t="s">
        <v>428</v>
      </c>
      <c r="R70" s="147">
        <v>38000</v>
      </c>
      <c r="S70" s="146">
        <v>12065</v>
      </c>
      <c r="T70" s="148">
        <v>40087</v>
      </c>
      <c r="U70" s="149"/>
      <c r="V70" s="150">
        <v>10</v>
      </c>
      <c r="W70" s="143"/>
      <c r="X70" s="143"/>
      <c r="Y70" s="143" t="s">
        <v>527</v>
      </c>
      <c r="Z70" s="143"/>
      <c r="AA70" s="143"/>
      <c r="AB70" s="143"/>
      <c r="AC70" s="143"/>
      <c r="AD70" s="143" t="s">
        <v>555</v>
      </c>
      <c r="AE70" s="143"/>
      <c r="AF70" s="143" t="s">
        <v>416</v>
      </c>
      <c r="AG70" s="143"/>
      <c r="AH70" s="143"/>
      <c r="AI70" s="143"/>
      <c r="AJ70" s="143"/>
      <c r="AK70" s="143"/>
      <c r="AL70" s="143"/>
      <c r="AM70" s="143"/>
      <c r="AN70" s="143"/>
      <c r="AO70" s="143"/>
      <c r="AP70" s="143"/>
      <c r="AQ70" s="143" t="s">
        <v>529</v>
      </c>
      <c r="AR70" s="143" t="s">
        <v>39</v>
      </c>
      <c r="AS70" s="143"/>
      <c r="AT70" s="143"/>
      <c r="AU70" s="143"/>
      <c r="AV70" s="143" t="s">
        <v>421</v>
      </c>
      <c r="AW70" s="148"/>
      <c r="AX70" s="148"/>
      <c r="AY70" s="143"/>
      <c r="AZ70" s="143"/>
      <c r="BA70" s="143"/>
      <c r="BB70" s="143" t="s">
        <v>422</v>
      </c>
      <c r="BC70" s="142">
        <v>0</v>
      </c>
      <c r="BD70" s="142">
        <v>0</v>
      </c>
      <c r="BE70" s="142">
        <v>0.48399999999999999</v>
      </c>
      <c r="BF70" s="142">
        <v>4.5229999999999997</v>
      </c>
      <c r="BG70" s="142">
        <v>0.50600000000000001</v>
      </c>
      <c r="BH70" s="142">
        <v>9.3390000000000004</v>
      </c>
      <c r="BI70" s="142">
        <v>0.75700000000000001</v>
      </c>
      <c r="BJ70" s="142">
        <v>0</v>
      </c>
      <c r="BK70" s="142">
        <v>0.44900000000000001</v>
      </c>
      <c r="BL70" s="142">
        <v>0</v>
      </c>
      <c r="BM70" s="142">
        <v>0</v>
      </c>
      <c r="BN70" s="142">
        <v>8.2000000000000003E-2</v>
      </c>
      <c r="BO70" s="142">
        <v>0</v>
      </c>
      <c r="BP70" s="142">
        <v>0</v>
      </c>
      <c r="BQ70" s="142">
        <v>0.90400000000000003</v>
      </c>
      <c r="BR70" s="142">
        <v>0.44900000000000001</v>
      </c>
      <c r="BS70" s="142">
        <v>0.45500000000000002</v>
      </c>
      <c r="BT70" s="142">
        <v>2</v>
      </c>
      <c r="BU70" s="142">
        <v>24.3</v>
      </c>
      <c r="BV70" s="142">
        <v>33.700000000000003</v>
      </c>
      <c r="BW70" s="143" t="s">
        <v>419</v>
      </c>
    </row>
    <row r="71" spans="5:75">
      <c r="E71" s="143" t="s">
        <v>344</v>
      </c>
      <c r="F71" s="153" t="s">
        <v>423</v>
      </c>
      <c r="G71" s="143" t="s">
        <v>525</v>
      </c>
      <c r="H71" s="153" t="s">
        <v>526</v>
      </c>
      <c r="I71" s="144" t="s">
        <v>527</v>
      </c>
      <c r="J71" s="144" t="s">
        <v>448</v>
      </c>
      <c r="K71" s="144"/>
      <c r="L71" s="144"/>
      <c r="M71" s="147">
        <v>43607</v>
      </c>
      <c r="N71" s="146">
        <v>8000</v>
      </c>
      <c r="O71" s="142" t="s">
        <v>557</v>
      </c>
      <c r="P71" s="143" t="s">
        <v>37</v>
      </c>
      <c r="Q71" s="143" t="s">
        <v>428</v>
      </c>
      <c r="R71" s="147">
        <v>40000</v>
      </c>
      <c r="S71" s="146">
        <v>12700</v>
      </c>
      <c r="T71" s="148">
        <v>40087</v>
      </c>
      <c r="U71" s="149"/>
      <c r="V71" s="150">
        <v>10</v>
      </c>
      <c r="W71" s="143"/>
      <c r="X71" s="143"/>
      <c r="Y71" s="143" t="s">
        <v>527</v>
      </c>
      <c r="Z71" s="143"/>
      <c r="AA71" s="143"/>
      <c r="AB71" s="143"/>
      <c r="AC71" s="143"/>
      <c r="AD71" s="143" t="s">
        <v>448</v>
      </c>
      <c r="AE71" s="143"/>
      <c r="AF71" s="143" t="s">
        <v>416</v>
      </c>
      <c r="AG71" s="143"/>
      <c r="AH71" s="143"/>
      <c r="AI71" s="143"/>
      <c r="AJ71" s="143"/>
      <c r="AK71" s="143"/>
      <c r="AL71" s="143"/>
      <c r="AM71" s="143"/>
      <c r="AN71" s="143"/>
      <c r="AO71" s="143"/>
      <c r="AP71" s="143"/>
      <c r="AQ71" s="143" t="s">
        <v>529</v>
      </c>
      <c r="AR71" s="143" t="s">
        <v>39</v>
      </c>
      <c r="AS71" s="143"/>
      <c r="AT71" s="143"/>
      <c r="AU71" s="143"/>
      <c r="AV71" s="143" t="s">
        <v>421</v>
      </c>
      <c r="AW71" s="148"/>
      <c r="AX71" s="148"/>
      <c r="AY71" s="143"/>
      <c r="AZ71" s="143"/>
      <c r="BA71" s="143"/>
      <c r="BB71" s="143" t="s">
        <v>422</v>
      </c>
      <c r="BC71" s="142">
        <v>0</v>
      </c>
      <c r="BD71" s="142">
        <v>0</v>
      </c>
      <c r="BE71" s="142">
        <v>0.48399999999999999</v>
      </c>
      <c r="BF71" s="142">
        <v>4.7610000000000001</v>
      </c>
      <c r="BG71" s="142">
        <v>0.50600000000000001</v>
      </c>
      <c r="BH71" s="142">
        <v>9.83</v>
      </c>
      <c r="BI71" s="142">
        <v>0.75700000000000001</v>
      </c>
      <c r="BJ71" s="142">
        <v>0</v>
      </c>
      <c r="BK71" s="142">
        <v>0.44900000000000001</v>
      </c>
      <c r="BL71" s="142">
        <v>0</v>
      </c>
      <c r="BM71" s="142">
        <v>0</v>
      </c>
      <c r="BN71" s="142">
        <v>8.2000000000000003E-2</v>
      </c>
      <c r="BO71" s="142">
        <v>0</v>
      </c>
      <c r="BP71" s="142">
        <v>0</v>
      </c>
      <c r="BQ71" s="142">
        <v>0.90400000000000003</v>
      </c>
      <c r="BR71" s="142">
        <v>0.44900000000000001</v>
      </c>
      <c r="BS71" s="142">
        <v>0.45500000000000002</v>
      </c>
      <c r="BT71" s="142">
        <v>2</v>
      </c>
      <c r="BU71" s="142">
        <v>24.3</v>
      </c>
      <c r="BV71" s="142">
        <v>35.4</v>
      </c>
      <c r="BW71" s="143" t="s">
        <v>419</v>
      </c>
    </row>
    <row r="72" spans="5:75">
      <c r="E72" s="143" t="s">
        <v>344</v>
      </c>
      <c r="F72" s="153" t="s">
        <v>423</v>
      </c>
      <c r="G72" s="143" t="s">
        <v>525</v>
      </c>
      <c r="H72" s="153" t="s">
        <v>526</v>
      </c>
      <c r="I72" s="144" t="s">
        <v>527</v>
      </c>
      <c r="J72" s="144" t="s">
        <v>558</v>
      </c>
      <c r="K72" s="144"/>
      <c r="L72" s="144"/>
      <c r="M72" s="147">
        <v>45787</v>
      </c>
      <c r="N72" s="146">
        <v>8400</v>
      </c>
      <c r="O72" s="142" t="s">
        <v>559</v>
      </c>
      <c r="P72" s="143" t="s">
        <v>37</v>
      </c>
      <c r="Q72" s="143" t="s">
        <v>428</v>
      </c>
      <c r="R72" s="147">
        <v>42000</v>
      </c>
      <c r="S72" s="146">
        <v>13335</v>
      </c>
      <c r="T72" s="148">
        <v>40087</v>
      </c>
      <c r="U72" s="149"/>
      <c r="V72" s="150">
        <v>10</v>
      </c>
      <c r="W72" s="143"/>
      <c r="X72" s="143"/>
      <c r="Y72" s="143" t="s">
        <v>527</v>
      </c>
      <c r="Z72" s="143"/>
      <c r="AA72" s="143"/>
      <c r="AB72" s="143"/>
      <c r="AC72" s="143"/>
      <c r="AD72" s="143" t="s">
        <v>558</v>
      </c>
      <c r="AE72" s="143"/>
      <c r="AF72" s="143" t="s">
        <v>416</v>
      </c>
      <c r="AG72" s="143"/>
      <c r="AH72" s="143"/>
      <c r="AI72" s="143"/>
      <c r="AJ72" s="143"/>
      <c r="AK72" s="143"/>
      <c r="AL72" s="143"/>
      <c r="AM72" s="143"/>
      <c r="AN72" s="143"/>
      <c r="AO72" s="143"/>
      <c r="AP72" s="143"/>
      <c r="AQ72" s="143" t="s">
        <v>529</v>
      </c>
      <c r="AR72" s="143" t="s">
        <v>39</v>
      </c>
      <c r="AS72" s="143"/>
      <c r="AT72" s="143"/>
      <c r="AU72" s="143"/>
      <c r="AV72" s="143" t="s">
        <v>421</v>
      </c>
      <c r="AW72" s="148"/>
      <c r="AX72" s="148"/>
      <c r="AY72" s="143"/>
      <c r="AZ72" s="143"/>
      <c r="BA72" s="143"/>
      <c r="BB72" s="143" t="s">
        <v>422</v>
      </c>
      <c r="BC72" s="142">
        <v>0</v>
      </c>
      <c r="BD72" s="142">
        <v>0</v>
      </c>
      <c r="BE72" s="142">
        <v>0.48399999999999999</v>
      </c>
      <c r="BF72" s="142">
        <v>5</v>
      </c>
      <c r="BG72" s="142">
        <v>0.50600000000000001</v>
      </c>
      <c r="BH72" s="142">
        <v>10.321999999999999</v>
      </c>
      <c r="BI72" s="142">
        <v>0.75700000000000001</v>
      </c>
      <c r="BJ72" s="142">
        <v>0</v>
      </c>
      <c r="BK72" s="142">
        <v>0.44900000000000001</v>
      </c>
      <c r="BL72" s="142">
        <v>0</v>
      </c>
      <c r="BM72" s="142">
        <v>0</v>
      </c>
      <c r="BN72" s="142">
        <v>8.2000000000000003E-2</v>
      </c>
      <c r="BO72" s="142">
        <v>0</v>
      </c>
      <c r="BP72" s="142">
        <v>0</v>
      </c>
      <c r="BQ72" s="142">
        <v>0.90400000000000003</v>
      </c>
      <c r="BR72" s="142">
        <v>0.44900000000000001</v>
      </c>
      <c r="BS72" s="142">
        <v>0.45500000000000002</v>
      </c>
      <c r="BT72" s="142">
        <v>2</v>
      </c>
      <c r="BU72" s="142">
        <v>24.3</v>
      </c>
      <c r="BV72" s="142">
        <v>37.200000000000003</v>
      </c>
      <c r="BW72" s="143" t="s">
        <v>419</v>
      </c>
    </row>
    <row r="73" spans="5:75">
      <c r="E73" s="143" t="s">
        <v>344</v>
      </c>
      <c r="F73" s="153" t="s">
        <v>423</v>
      </c>
      <c r="G73" s="143" t="s">
        <v>525</v>
      </c>
      <c r="H73" s="153" t="s">
        <v>526</v>
      </c>
      <c r="I73" s="144" t="s">
        <v>527</v>
      </c>
      <c r="J73" s="144" t="s">
        <v>560</v>
      </c>
      <c r="K73" s="144"/>
      <c r="L73" s="144"/>
      <c r="M73" s="147">
        <v>47967</v>
      </c>
      <c r="N73" s="146">
        <v>8800</v>
      </c>
      <c r="O73" s="142" t="s">
        <v>561</v>
      </c>
      <c r="P73" s="143" t="s">
        <v>37</v>
      </c>
      <c r="Q73" s="143" t="s">
        <v>428</v>
      </c>
      <c r="R73" s="147">
        <v>44000</v>
      </c>
      <c r="S73" s="146">
        <v>13970</v>
      </c>
      <c r="T73" s="148">
        <v>40087</v>
      </c>
      <c r="U73" s="149"/>
      <c r="V73" s="150">
        <v>10</v>
      </c>
      <c r="W73" s="143"/>
      <c r="X73" s="143"/>
      <c r="Y73" s="143" t="s">
        <v>527</v>
      </c>
      <c r="Z73" s="143"/>
      <c r="AA73" s="143"/>
      <c r="AB73" s="143"/>
      <c r="AC73" s="143"/>
      <c r="AD73" s="143" t="s">
        <v>560</v>
      </c>
      <c r="AE73" s="143"/>
      <c r="AF73" s="143" t="s">
        <v>416</v>
      </c>
      <c r="AG73" s="143"/>
      <c r="AH73" s="143"/>
      <c r="AI73" s="143"/>
      <c r="AJ73" s="143"/>
      <c r="AK73" s="143"/>
      <c r="AL73" s="143"/>
      <c r="AM73" s="143"/>
      <c r="AN73" s="143"/>
      <c r="AO73" s="143"/>
      <c r="AP73" s="143"/>
      <c r="AQ73" s="143" t="s">
        <v>529</v>
      </c>
      <c r="AR73" s="143" t="s">
        <v>39</v>
      </c>
      <c r="AS73" s="143"/>
      <c r="AT73" s="143"/>
      <c r="AU73" s="143"/>
      <c r="AV73" s="143" t="s">
        <v>421</v>
      </c>
      <c r="AW73" s="148"/>
      <c r="AX73" s="148"/>
      <c r="AY73" s="143"/>
      <c r="AZ73" s="143"/>
      <c r="BA73" s="143"/>
      <c r="BB73" s="143" t="s">
        <v>422</v>
      </c>
      <c r="BC73" s="142">
        <v>0</v>
      </c>
      <c r="BD73" s="142">
        <v>0</v>
      </c>
      <c r="BE73" s="142">
        <v>0.48399999999999999</v>
      </c>
      <c r="BF73" s="142">
        <v>5.2380000000000004</v>
      </c>
      <c r="BG73" s="142">
        <v>0.50600000000000001</v>
      </c>
      <c r="BH73" s="142">
        <v>10.813000000000001</v>
      </c>
      <c r="BI73" s="142">
        <v>0.75700000000000001</v>
      </c>
      <c r="BJ73" s="142">
        <v>0</v>
      </c>
      <c r="BK73" s="142">
        <v>0.44900000000000001</v>
      </c>
      <c r="BL73" s="142">
        <v>0</v>
      </c>
      <c r="BM73" s="142">
        <v>0</v>
      </c>
      <c r="BN73" s="142">
        <v>8.2000000000000003E-2</v>
      </c>
      <c r="BO73" s="142">
        <v>0</v>
      </c>
      <c r="BP73" s="142">
        <v>0</v>
      </c>
      <c r="BQ73" s="142">
        <v>0.90400000000000003</v>
      </c>
      <c r="BR73" s="142">
        <v>0.44900000000000001</v>
      </c>
      <c r="BS73" s="142">
        <v>0.45500000000000002</v>
      </c>
      <c r="BT73" s="142">
        <v>2</v>
      </c>
      <c r="BU73" s="142">
        <v>24.3</v>
      </c>
      <c r="BV73" s="142">
        <v>39</v>
      </c>
      <c r="BW73" s="143" t="s">
        <v>419</v>
      </c>
    </row>
    <row r="74" spans="5:75">
      <c r="E74" s="143" t="s">
        <v>344</v>
      </c>
      <c r="F74" s="153" t="s">
        <v>423</v>
      </c>
      <c r="G74" s="143" t="s">
        <v>525</v>
      </c>
      <c r="H74" s="153" t="s">
        <v>526</v>
      </c>
      <c r="I74" s="144" t="s">
        <v>527</v>
      </c>
      <c r="J74" s="144" t="s">
        <v>562</v>
      </c>
      <c r="K74" s="144"/>
      <c r="L74" s="144"/>
      <c r="M74" s="147">
        <v>52328</v>
      </c>
      <c r="N74" s="146">
        <v>9600</v>
      </c>
      <c r="O74" s="142" t="s">
        <v>563</v>
      </c>
      <c r="P74" s="143" t="s">
        <v>37</v>
      </c>
      <c r="Q74" s="143" t="s">
        <v>428</v>
      </c>
      <c r="R74" s="147">
        <v>48000</v>
      </c>
      <c r="S74" s="146">
        <v>15240</v>
      </c>
      <c r="T74" s="148">
        <v>40087</v>
      </c>
      <c r="U74" s="149"/>
      <c r="V74" s="150">
        <v>10</v>
      </c>
      <c r="W74" s="143"/>
      <c r="X74" s="143"/>
      <c r="Y74" s="143" t="s">
        <v>527</v>
      </c>
      <c r="Z74" s="143"/>
      <c r="AA74" s="143"/>
      <c r="AB74" s="143"/>
      <c r="AC74" s="143"/>
      <c r="AD74" s="143" t="s">
        <v>562</v>
      </c>
      <c r="AE74" s="143"/>
      <c r="AF74" s="143" t="s">
        <v>416</v>
      </c>
      <c r="AG74" s="143"/>
      <c r="AH74" s="143"/>
      <c r="AI74" s="143"/>
      <c r="AJ74" s="143"/>
      <c r="AK74" s="143"/>
      <c r="AL74" s="143"/>
      <c r="AM74" s="143"/>
      <c r="AN74" s="143"/>
      <c r="AO74" s="143"/>
      <c r="AP74" s="143"/>
      <c r="AQ74" s="143" t="s">
        <v>529</v>
      </c>
      <c r="AR74" s="143" t="s">
        <v>39</v>
      </c>
      <c r="AS74" s="143"/>
      <c r="AT74" s="143"/>
      <c r="AU74" s="143"/>
      <c r="AV74" s="143" t="s">
        <v>421</v>
      </c>
      <c r="AW74" s="148"/>
      <c r="AX74" s="148"/>
      <c r="AY74" s="143"/>
      <c r="AZ74" s="143"/>
      <c r="BA74" s="143"/>
      <c r="BB74" s="143" t="s">
        <v>422</v>
      </c>
      <c r="BC74" s="142">
        <v>0</v>
      </c>
      <c r="BD74" s="142">
        <v>0</v>
      </c>
      <c r="BE74" s="142">
        <v>0.48399999999999999</v>
      </c>
      <c r="BF74" s="142">
        <v>5.7140000000000004</v>
      </c>
      <c r="BG74" s="142">
        <v>0.50600000000000001</v>
      </c>
      <c r="BH74" s="142">
        <v>11.795999999999999</v>
      </c>
      <c r="BI74" s="142">
        <v>0.75700000000000001</v>
      </c>
      <c r="BJ74" s="142">
        <v>0</v>
      </c>
      <c r="BK74" s="142">
        <v>0.44900000000000001</v>
      </c>
      <c r="BL74" s="142">
        <v>0</v>
      </c>
      <c r="BM74" s="142">
        <v>0</v>
      </c>
      <c r="BN74" s="142">
        <v>8.2000000000000003E-2</v>
      </c>
      <c r="BO74" s="142">
        <v>0</v>
      </c>
      <c r="BP74" s="142">
        <v>0</v>
      </c>
      <c r="BQ74" s="142">
        <v>0.90400000000000003</v>
      </c>
      <c r="BR74" s="142">
        <v>0.44900000000000001</v>
      </c>
      <c r="BS74" s="142">
        <v>0.45500000000000002</v>
      </c>
      <c r="BT74" s="142">
        <v>2</v>
      </c>
      <c r="BU74" s="142">
        <v>24.3</v>
      </c>
      <c r="BV74" s="142">
        <v>42.5</v>
      </c>
      <c r="BW74" s="143" t="s">
        <v>419</v>
      </c>
    </row>
    <row r="75" spans="5:75">
      <c r="E75" s="143" t="s">
        <v>344</v>
      </c>
      <c r="F75" s="153" t="s">
        <v>423</v>
      </c>
      <c r="G75" s="143" t="s">
        <v>525</v>
      </c>
      <c r="H75" s="153" t="s">
        <v>526</v>
      </c>
      <c r="I75" s="144" t="s">
        <v>527</v>
      </c>
      <c r="J75" s="144" t="s">
        <v>450</v>
      </c>
      <c r="K75" s="144"/>
      <c r="L75" s="144"/>
      <c r="M75" s="147">
        <v>54508</v>
      </c>
      <c r="N75" s="146">
        <v>10000</v>
      </c>
      <c r="O75" s="142" t="s">
        <v>564</v>
      </c>
      <c r="P75" s="143" t="s">
        <v>37</v>
      </c>
      <c r="Q75" s="143" t="s">
        <v>428</v>
      </c>
      <c r="R75" s="147">
        <v>50000</v>
      </c>
      <c r="S75" s="146">
        <v>15875</v>
      </c>
      <c r="T75" s="148">
        <v>40087</v>
      </c>
      <c r="U75" s="149"/>
      <c r="V75" s="150">
        <v>10</v>
      </c>
      <c r="W75" s="143"/>
      <c r="X75" s="143"/>
      <c r="Y75" s="143" t="s">
        <v>527</v>
      </c>
      <c r="Z75" s="143"/>
      <c r="AA75" s="143"/>
      <c r="AB75" s="143"/>
      <c r="AC75" s="143"/>
      <c r="AD75" s="143" t="s">
        <v>450</v>
      </c>
      <c r="AE75" s="143"/>
      <c r="AF75" s="143" t="s">
        <v>416</v>
      </c>
      <c r="AG75" s="143"/>
      <c r="AH75" s="143"/>
      <c r="AI75" s="143"/>
      <c r="AJ75" s="143"/>
      <c r="AK75" s="143"/>
      <c r="AL75" s="143"/>
      <c r="AM75" s="143"/>
      <c r="AN75" s="143"/>
      <c r="AO75" s="143"/>
      <c r="AP75" s="143"/>
      <c r="AQ75" s="143" t="s">
        <v>529</v>
      </c>
      <c r="AR75" s="143" t="s">
        <v>39</v>
      </c>
      <c r="AS75" s="143"/>
      <c r="AT75" s="143"/>
      <c r="AU75" s="143"/>
      <c r="AV75" s="143" t="s">
        <v>421</v>
      </c>
      <c r="AW75" s="148"/>
      <c r="AX75" s="148"/>
      <c r="AY75" s="143"/>
      <c r="AZ75" s="143"/>
      <c r="BA75" s="143"/>
      <c r="BB75" s="143" t="s">
        <v>422</v>
      </c>
      <c r="BC75" s="142">
        <v>0</v>
      </c>
      <c r="BD75" s="142">
        <v>0</v>
      </c>
      <c r="BE75" s="142">
        <v>0.48399999999999999</v>
      </c>
      <c r="BF75" s="142">
        <v>5.952</v>
      </c>
      <c r="BG75" s="142">
        <v>0.50600000000000001</v>
      </c>
      <c r="BH75" s="142">
        <v>12.288</v>
      </c>
      <c r="BI75" s="142">
        <v>0.75700000000000001</v>
      </c>
      <c r="BJ75" s="142">
        <v>0</v>
      </c>
      <c r="BK75" s="142">
        <v>0.44900000000000001</v>
      </c>
      <c r="BL75" s="142">
        <v>0</v>
      </c>
      <c r="BM75" s="142">
        <v>0</v>
      </c>
      <c r="BN75" s="142">
        <v>8.2000000000000003E-2</v>
      </c>
      <c r="BO75" s="142">
        <v>0</v>
      </c>
      <c r="BP75" s="142">
        <v>0</v>
      </c>
      <c r="BQ75" s="142">
        <v>0.90400000000000003</v>
      </c>
      <c r="BR75" s="142">
        <v>0.44900000000000001</v>
      </c>
      <c r="BS75" s="142">
        <v>0.45500000000000002</v>
      </c>
      <c r="BT75" s="142">
        <v>2</v>
      </c>
      <c r="BU75" s="142">
        <v>24.3</v>
      </c>
      <c r="BV75" s="142">
        <v>44.3</v>
      </c>
      <c r="BW75" s="143" t="s">
        <v>419</v>
      </c>
    </row>
    <row r="76" spans="5:75">
      <c r="E76" s="143" t="s">
        <v>344</v>
      </c>
      <c r="F76" s="153" t="s">
        <v>423</v>
      </c>
      <c r="G76" s="143" t="s">
        <v>525</v>
      </c>
      <c r="H76" s="153" t="s">
        <v>526</v>
      </c>
      <c r="I76" s="144" t="s">
        <v>527</v>
      </c>
      <c r="J76" s="144" t="s">
        <v>565</v>
      </c>
      <c r="K76" s="144"/>
      <c r="L76" s="144"/>
      <c r="M76" s="147">
        <v>56689</v>
      </c>
      <c r="N76" s="146">
        <v>10400</v>
      </c>
      <c r="O76" s="142" t="s">
        <v>566</v>
      </c>
      <c r="P76" s="143" t="s">
        <v>37</v>
      </c>
      <c r="Q76" s="143" t="s">
        <v>428</v>
      </c>
      <c r="R76" s="147">
        <v>52000</v>
      </c>
      <c r="S76" s="146">
        <v>16510</v>
      </c>
      <c r="T76" s="148">
        <v>40087</v>
      </c>
      <c r="U76" s="149"/>
      <c r="V76" s="150">
        <v>10</v>
      </c>
      <c r="W76" s="143"/>
      <c r="X76" s="143"/>
      <c r="Y76" s="143" t="s">
        <v>527</v>
      </c>
      <c r="Z76" s="143"/>
      <c r="AA76" s="143"/>
      <c r="AB76" s="143"/>
      <c r="AC76" s="143"/>
      <c r="AD76" s="143" t="s">
        <v>565</v>
      </c>
      <c r="AE76" s="143"/>
      <c r="AF76" s="143" t="s">
        <v>416</v>
      </c>
      <c r="AG76" s="143"/>
      <c r="AH76" s="143"/>
      <c r="AI76" s="143"/>
      <c r="AJ76" s="143"/>
      <c r="AK76" s="143"/>
      <c r="AL76" s="143"/>
      <c r="AM76" s="143"/>
      <c r="AN76" s="143"/>
      <c r="AO76" s="143"/>
      <c r="AP76" s="143"/>
      <c r="AQ76" s="143" t="s">
        <v>529</v>
      </c>
      <c r="AR76" s="143" t="s">
        <v>39</v>
      </c>
      <c r="AS76" s="143"/>
      <c r="AT76" s="143"/>
      <c r="AU76" s="143"/>
      <c r="AV76" s="143" t="s">
        <v>421</v>
      </c>
      <c r="AW76" s="148"/>
      <c r="AX76" s="148"/>
      <c r="AY76" s="143"/>
      <c r="AZ76" s="143"/>
      <c r="BA76" s="143"/>
      <c r="BB76" s="143" t="s">
        <v>422</v>
      </c>
      <c r="BC76" s="142">
        <v>0</v>
      </c>
      <c r="BD76" s="142">
        <v>0</v>
      </c>
      <c r="BE76" s="142">
        <v>0.48399999999999999</v>
      </c>
      <c r="BF76" s="142">
        <v>6.19</v>
      </c>
      <c r="BG76" s="142">
        <v>0.50600000000000001</v>
      </c>
      <c r="BH76" s="142">
        <v>12.779</v>
      </c>
      <c r="BI76" s="142">
        <v>0.75700000000000001</v>
      </c>
      <c r="BJ76" s="142">
        <v>0</v>
      </c>
      <c r="BK76" s="142">
        <v>0.44900000000000001</v>
      </c>
      <c r="BL76" s="142">
        <v>0</v>
      </c>
      <c r="BM76" s="142">
        <v>0</v>
      </c>
      <c r="BN76" s="142">
        <v>8.2000000000000003E-2</v>
      </c>
      <c r="BO76" s="142">
        <v>0</v>
      </c>
      <c r="BP76" s="142">
        <v>0</v>
      </c>
      <c r="BQ76" s="142">
        <v>0.90400000000000003</v>
      </c>
      <c r="BR76" s="142">
        <v>0.44900000000000001</v>
      </c>
      <c r="BS76" s="142">
        <v>0.45500000000000002</v>
      </c>
      <c r="BT76" s="142">
        <v>2</v>
      </c>
      <c r="BU76" s="142">
        <v>24.3</v>
      </c>
      <c r="BV76" s="142">
        <v>46.1</v>
      </c>
      <c r="BW76" s="143" t="s">
        <v>419</v>
      </c>
    </row>
    <row r="77" spans="5:75">
      <c r="E77" s="143" t="s">
        <v>344</v>
      </c>
      <c r="F77" s="153" t="s">
        <v>423</v>
      </c>
      <c r="G77" s="143" t="s">
        <v>525</v>
      </c>
      <c r="H77" s="153" t="s">
        <v>526</v>
      </c>
      <c r="I77" s="144" t="s">
        <v>527</v>
      </c>
      <c r="J77" s="144" t="s">
        <v>567</v>
      </c>
      <c r="K77" s="144"/>
      <c r="L77" s="144"/>
      <c r="M77" s="147">
        <v>58869</v>
      </c>
      <c r="N77" s="146">
        <v>10800</v>
      </c>
      <c r="O77" s="142" t="s">
        <v>568</v>
      </c>
      <c r="P77" s="143" t="s">
        <v>37</v>
      </c>
      <c r="Q77" s="143" t="s">
        <v>428</v>
      </c>
      <c r="R77" s="147">
        <v>54000</v>
      </c>
      <c r="S77" s="146">
        <v>17145</v>
      </c>
      <c r="T77" s="148">
        <v>40087</v>
      </c>
      <c r="U77" s="149"/>
      <c r="V77" s="150">
        <v>10</v>
      </c>
      <c r="W77" s="143"/>
      <c r="X77" s="143"/>
      <c r="Y77" s="143" t="s">
        <v>527</v>
      </c>
      <c r="Z77" s="143"/>
      <c r="AA77" s="143"/>
      <c r="AB77" s="143"/>
      <c r="AC77" s="143"/>
      <c r="AD77" s="143" t="s">
        <v>567</v>
      </c>
      <c r="AE77" s="143"/>
      <c r="AF77" s="143" t="s">
        <v>416</v>
      </c>
      <c r="AG77" s="143"/>
      <c r="AH77" s="143"/>
      <c r="AI77" s="143"/>
      <c r="AJ77" s="143"/>
      <c r="AK77" s="143"/>
      <c r="AL77" s="143"/>
      <c r="AM77" s="143"/>
      <c r="AN77" s="143"/>
      <c r="AO77" s="143"/>
      <c r="AP77" s="143"/>
      <c r="AQ77" s="143" t="s">
        <v>529</v>
      </c>
      <c r="AR77" s="143" t="s">
        <v>39</v>
      </c>
      <c r="AS77" s="143"/>
      <c r="AT77" s="143"/>
      <c r="AU77" s="143"/>
      <c r="AV77" s="143" t="s">
        <v>421</v>
      </c>
      <c r="AW77" s="148"/>
      <c r="AX77" s="148"/>
      <c r="AY77" s="143"/>
      <c r="AZ77" s="143"/>
      <c r="BA77" s="143"/>
      <c r="BB77" s="143" t="s">
        <v>422</v>
      </c>
      <c r="BC77" s="142">
        <v>0</v>
      </c>
      <c r="BD77" s="142">
        <v>0</v>
      </c>
      <c r="BE77" s="142">
        <v>0.48399999999999999</v>
      </c>
      <c r="BF77" s="142">
        <v>6.4279999999999999</v>
      </c>
      <c r="BG77" s="142">
        <v>0.50600000000000001</v>
      </c>
      <c r="BH77" s="142">
        <v>13.271000000000001</v>
      </c>
      <c r="BI77" s="142">
        <v>0.75700000000000001</v>
      </c>
      <c r="BJ77" s="142">
        <v>0</v>
      </c>
      <c r="BK77" s="142">
        <v>0.44900000000000001</v>
      </c>
      <c r="BL77" s="142">
        <v>0</v>
      </c>
      <c r="BM77" s="142">
        <v>0</v>
      </c>
      <c r="BN77" s="142">
        <v>8.2000000000000003E-2</v>
      </c>
      <c r="BO77" s="142">
        <v>0</v>
      </c>
      <c r="BP77" s="142">
        <v>0</v>
      </c>
      <c r="BQ77" s="142">
        <v>0.90400000000000003</v>
      </c>
      <c r="BR77" s="142">
        <v>0.44900000000000001</v>
      </c>
      <c r="BS77" s="142">
        <v>0.45500000000000002</v>
      </c>
      <c r="BT77" s="142">
        <v>2</v>
      </c>
      <c r="BU77" s="142">
        <v>24.3</v>
      </c>
      <c r="BV77" s="142">
        <v>47.8</v>
      </c>
      <c r="BW77" s="143" t="s">
        <v>419</v>
      </c>
    </row>
    <row r="78" spans="5:75">
      <c r="E78" s="143" t="s">
        <v>344</v>
      </c>
      <c r="F78" s="153" t="s">
        <v>423</v>
      </c>
      <c r="G78" s="143" t="s">
        <v>525</v>
      </c>
      <c r="H78" s="153" t="s">
        <v>526</v>
      </c>
      <c r="I78" s="144" t="s">
        <v>527</v>
      </c>
      <c r="J78" s="144" t="s">
        <v>569</v>
      </c>
      <c r="K78" s="144"/>
      <c r="L78" s="144"/>
      <c r="M78" s="147">
        <v>61049</v>
      </c>
      <c r="N78" s="146">
        <v>11200</v>
      </c>
      <c r="O78" s="142" t="s">
        <v>570</v>
      </c>
      <c r="P78" s="143" t="s">
        <v>37</v>
      </c>
      <c r="Q78" s="143" t="s">
        <v>428</v>
      </c>
      <c r="R78" s="147">
        <v>56000</v>
      </c>
      <c r="S78" s="146">
        <v>17780</v>
      </c>
      <c r="T78" s="148">
        <v>40087</v>
      </c>
      <c r="U78" s="149"/>
      <c r="V78" s="150">
        <v>10</v>
      </c>
      <c r="W78" s="143"/>
      <c r="X78" s="143"/>
      <c r="Y78" s="143" t="s">
        <v>527</v>
      </c>
      <c r="Z78" s="143"/>
      <c r="AA78" s="143"/>
      <c r="AB78" s="143"/>
      <c r="AC78" s="143"/>
      <c r="AD78" s="143" t="s">
        <v>569</v>
      </c>
      <c r="AE78" s="143"/>
      <c r="AF78" s="143" t="s">
        <v>416</v>
      </c>
      <c r="AG78" s="143"/>
      <c r="AH78" s="143"/>
      <c r="AI78" s="143"/>
      <c r="AJ78" s="143"/>
      <c r="AK78" s="143"/>
      <c r="AL78" s="143"/>
      <c r="AM78" s="143"/>
      <c r="AN78" s="143"/>
      <c r="AO78" s="143"/>
      <c r="AP78" s="143"/>
      <c r="AQ78" s="143" t="s">
        <v>529</v>
      </c>
      <c r="AR78" s="143" t="s">
        <v>39</v>
      </c>
      <c r="AS78" s="143"/>
      <c r="AT78" s="143"/>
      <c r="AU78" s="143"/>
      <c r="AV78" s="143" t="s">
        <v>421</v>
      </c>
      <c r="AW78" s="148"/>
      <c r="AX78" s="148"/>
      <c r="AY78" s="143"/>
      <c r="AZ78" s="143"/>
      <c r="BA78" s="143"/>
      <c r="BB78" s="143" t="s">
        <v>422</v>
      </c>
      <c r="BC78" s="142">
        <v>0</v>
      </c>
      <c r="BD78" s="142">
        <v>0</v>
      </c>
      <c r="BE78" s="142">
        <v>0.48399999999999999</v>
      </c>
      <c r="BF78" s="142">
        <v>6.6660000000000004</v>
      </c>
      <c r="BG78" s="142">
        <v>0.50600000000000001</v>
      </c>
      <c r="BH78" s="142">
        <v>13.762</v>
      </c>
      <c r="BI78" s="142">
        <v>0.75700000000000001</v>
      </c>
      <c r="BJ78" s="142">
        <v>0</v>
      </c>
      <c r="BK78" s="142">
        <v>0.44900000000000001</v>
      </c>
      <c r="BL78" s="142">
        <v>0</v>
      </c>
      <c r="BM78" s="142">
        <v>0</v>
      </c>
      <c r="BN78" s="142">
        <v>8.2000000000000003E-2</v>
      </c>
      <c r="BO78" s="142">
        <v>0</v>
      </c>
      <c r="BP78" s="142">
        <v>0</v>
      </c>
      <c r="BQ78" s="142">
        <v>0.90400000000000003</v>
      </c>
      <c r="BR78" s="142">
        <v>0.44900000000000001</v>
      </c>
      <c r="BS78" s="142">
        <v>0.45500000000000002</v>
      </c>
      <c r="BT78" s="142">
        <v>2</v>
      </c>
      <c r="BU78" s="142">
        <v>24.3</v>
      </c>
      <c r="BV78" s="142">
        <v>49.6</v>
      </c>
      <c r="BW78" s="143" t="s">
        <v>419</v>
      </c>
    </row>
    <row r="79" spans="5:75">
      <c r="E79" s="143" t="s">
        <v>344</v>
      </c>
      <c r="F79" s="153" t="s">
        <v>423</v>
      </c>
      <c r="G79" s="143" t="s">
        <v>525</v>
      </c>
      <c r="H79" s="153" t="s">
        <v>526</v>
      </c>
      <c r="I79" s="144" t="s">
        <v>527</v>
      </c>
      <c r="J79" s="144" t="s">
        <v>571</v>
      </c>
      <c r="K79" s="144"/>
      <c r="L79" s="144"/>
      <c r="M79" s="147">
        <v>63230</v>
      </c>
      <c r="N79" s="146">
        <v>11600</v>
      </c>
      <c r="O79" s="142" t="s">
        <v>572</v>
      </c>
      <c r="P79" s="143" t="s">
        <v>37</v>
      </c>
      <c r="Q79" s="143" t="s">
        <v>428</v>
      </c>
      <c r="R79" s="147">
        <v>58000</v>
      </c>
      <c r="S79" s="146">
        <v>18415</v>
      </c>
      <c r="T79" s="148">
        <v>40087</v>
      </c>
      <c r="U79" s="149"/>
      <c r="V79" s="150">
        <v>10</v>
      </c>
      <c r="W79" s="143"/>
      <c r="X79" s="143"/>
      <c r="Y79" s="143" t="s">
        <v>527</v>
      </c>
      <c r="Z79" s="143"/>
      <c r="AA79" s="143"/>
      <c r="AB79" s="143"/>
      <c r="AC79" s="143"/>
      <c r="AD79" s="143" t="s">
        <v>571</v>
      </c>
      <c r="AE79" s="143"/>
      <c r="AF79" s="143" t="s">
        <v>416</v>
      </c>
      <c r="AG79" s="143"/>
      <c r="AH79" s="143"/>
      <c r="AI79" s="143"/>
      <c r="AJ79" s="143"/>
      <c r="AK79" s="143"/>
      <c r="AL79" s="143"/>
      <c r="AM79" s="143"/>
      <c r="AN79" s="143"/>
      <c r="AO79" s="143"/>
      <c r="AP79" s="143"/>
      <c r="AQ79" s="143" t="s">
        <v>529</v>
      </c>
      <c r="AR79" s="143" t="s">
        <v>39</v>
      </c>
      <c r="AS79" s="143"/>
      <c r="AT79" s="143"/>
      <c r="AU79" s="143"/>
      <c r="AV79" s="143" t="s">
        <v>421</v>
      </c>
      <c r="AW79" s="148"/>
      <c r="AX79" s="148"/>
      <c r="AY79" s="143"/>
      <c r="AZ79" s="143"/>
      <c r="BA79" s="143"/>
      <c r="BB79" s="143" t="s">
        <v>422</v>
      </c>
      <c r="BC79" s="142">
        <v>0</v>
      </c>
      <c r="BD79" s="142">
        <v>0</v>
      </c>
      <c r="BE79" s="142">
        <v>0.48399999999999999</v>
      </c>
      <c r="BF79" s="142">
        <v>6.9039999999999999</v>
      </c>
      <c r="BG79" s="142">
        <v>0.50600000000000001</v>
      </c>
      <c r="BH79" s="142">
        <v>14.254</v>
      </c>
      <c r="BI79" s="142">
        <v>0.75700000000000001</v>
      </c>
      <c r="BJ79" s="142">
        <v>0</v>
      </c>
      <c r="BK79" s="142">
        <v>0.44900000000000001</v>
      </c>
      <c r="BL79" s="142">
        <v>0</v>
      </c>
      <c r="BM79" s="142">
        <v>0</v>
      </c>
      <c r="BN79" s="142">
        <v>8.2000000000000003E-2</v>
      </c>
      <c r="BO79" s="142">
        <v>0</v>
      </c>
      <c r="BP79" s="142">
        <v>0</v>
      </c>
      <c r="BQ79" s="142">
        <v>0.90400000000000003</v>
      </c>
      <c r="BR79" s="142">
        <v>0.44900000000000001</v>
      </c>
      <c r="BS79" s="142">
        <v>0.45500000000000002</v>
      </c>
      <c r="BT79" s="142">
        <v>2</v>
      </c>
      <c r="BU79" s="142">
        <v>24.3</v>
      </c>
      <c r="BV79" s="142">
        <v>51.4</v>
      </c>
      <c r="BW79" s="143" t="s">
        <v>419</v>
      </c>
    </row>
    <row r="80" spans="5:75">
      <c r="E80" s="143" t="s">
        <v>344</v>
      </c>
      <c r="F80" s="153" t="s">
        <v>423</v>
      </c>
      <c r="G80" s="143" t="s">
        <v>525</v>
      </c>
      <c r="H80" s="153" t="s">
        <v>526</v>
      </c>
      <c r="I80" s="144" t="s">
        <v>527</v>
      </c>
      <c r="J80" s="144" t="s">
        <v>452</v>
      </c>
      <c r="K80" s="144"/>
      <c r="L80" s="144"/>
      <c r="M80" s="147">
        <v>65410</v>
      </c>
      <c r="N80" s="146">
        <v>12000</v>
      </c>
      <c r="O80" s="142" t="s">
        <v>573</v>
      </c>
      <c r="P80" s="143" t="s">
        <v>37</v>
      </c>
      <c r="Q80" s="143" t="s">
        <v>428</v>
      </c>
      <c r="R80" s="147">
        <v>60000</v>
      </c>
      <c r="S80" s="146">
        <v>19050</v>
      </c>
      <c r="T80" s="148">
        <v>40087</v>
      </c>
      <c r="U80" s="149"/>
      <c r="V80" s="150">
        <v>10</v>
      </c>
      <c r="W80" s="143"/>
      <c r="X80" s="143"/>
      <c r="Y80" s="143" t="s">
        <v>527</v>
      </c>
      <c r="Z80" s="143"/>
      <c r="AA80" s="143"/>
      <c r="AB80" s="143"/>
      <c r="AC80" s="143"/>
      <c r="AD80" s="143" t="s">
        <v>452</v>
      </c>
      <c r="AE80" s="143"/>
      <c r="AF80" s="143" t="s">
        <v>416</v>
      </c>
      <c r="AG80" s="143"/>
      <c r="AH80" s="143"/>
      <c r="AI80" s="143"/>
      <c r="AJ80" s="143"/>
      <c r="AK80" s="143"/>
      <c r="AL80" s="143"/>
      <c r="AM80" s="143"/>
      <c r="AN80" s="143"/>
      <c r="AO80" s="143"/>
      <c r="AP80" s="143"/>
      <c r="AQ80" s="143" t="s">
        <v>529</v>
      </c>
      <c r="AR80" s="143" t="s">
        <v>39</v>
      </c>
      <c r="AS80" s="143"/>
      <c r="AT80" s="143"/>
      <c r="AU80" s="143"/>
      <c r="AV80" s="143" t="s">
        <v>421</v>
      </c>
      <c r="AW80" s="148"/>
      <c r="AX80" s="148"/>
      <c r="AY80" s="143"/>
      <c r="AZ80" s="143"/>
      <c r="BA80" s="143"/>
      <c r="BB80" s="143" t="s">
        <v>422</v>
      </c>
      <c r="BC80" s="142">
        <v>0</v>
      </c>
      <c r="BD80" s="142">
        <v>0</v>
      </c>
      <c r="BE80" s="142">
        <v>0.48399999999999999</v>
      </c>
      <c r="BF80" s="142">
        <v>7.1420000000000003</v>
      </c>
      <c r="BG80" s="142">
        <v>0.50600000000000001</v>
      </c>
      <c r="BH80" s="142">
        <v>14.744999999999999</v>
      </c>
      <c r="BI80" s="142">
        <v>0.75700000000000001</v>
      </c>
      <c r="BJ80" s="142">
        <v>0</v>
      </c>
      <c r="BK80" s="142">
        <v>0.44900000000000001</v>
      </c>
      <c r="BL80" s="142">
        <v>0</v>
      </c>
      <c r="BM80" s="142">
        <v>0</v>
      </c>
      <c r="BN80" s="142">
        <v>8.2000000000000003E-2</v>
      </c>
      <c r="BO80" s="142">
        <v>0</v>
      </c>
      <c r="BP80" s="142">
        <v>0</v>
      </c>
      <c r="BQ80" s="142">
        <v>0.90400000000000003</v>
      </c>
      <c r="BR80" s="142">
        <v>0.44900000000000001</v>
      </c>
      <c r="BS80" s="142">
        <v>0.45500000000000002</v>
      </c>
      <c r="BT80" s="142">
        <v>2</v>
      </c>
      <c r="BU80" s="142">
        <v>24.3</v>
      </c>
      <c r="BV80" s="142">
        <v>53.1</v>
      </c>
      <c r="BW80" s="143" t="s">
        <v>419</v>
      </c>
    </row>
    <row r="81" spans="5:75">
      <c r="E81" s="143" t="s">
        <v>344</v>
      </c>
      <c r="F81" s="153" t="s">
        <v>423</v>
      </c>
      <c r="G81" s="143" t="s">
        <v>525</v>
      </c>
      <c r="H81" s="153" t="s">
        <v>526</v>
      </c>
      <c r="I81" s="144" t="s">
        <v>527</v>
      </c>
      <c r="J81" s="144" t="s">
        <v>574</v>
      </c>
      <c r="K81" s="144"/>
      <c r="L81" s="144"/>
      <c r="M81" s="147">
        <v>67590</v>
      </c>
      <c r="N81" s="146">
        <v>12400</v>
      </c>
      <c r="O81" s="142" t="s">
        <v>575</v>
      </c>
      <c r="P81" s="143" t="s">
        <v>37</v>
      </c>
      <c r="Q81" s="143" t="s">
        <v>428</v>
      </c>
      <c r="R81" s="147">
        <v>62000</v>
      </c>
      <c r="S81" s="146">
        <v>19685</v>
      </c>
      <c r="T81" s="148">
        <v>40087</v>
      </c>
      <c r="U81" s="149"/>
      <c r="V81" s="150">
        <v>10</v>
      </c>
      <c r="W81" s="143"/>
      <c r="X81" s="143"/>
      <c r="Y81" s="143" t="s">
        <v>527</v>
      </c>
      <c r="Z81" s="143"/>
      <c r="AA81" s="143"/>
      <c r="AB81" s="143"/>
      <c r="AC81" s="143"/>
      <c r="AD81" s="143" t="s">
        <v>574</v>
      </c>
      <c r="AE81" s="143"/>
      <c r="AF81" s="143" t="s">
        <v>416</v>
      </c>
      <c r="AG81" s="143"/>
      <c r="AH81" s="143"/>
      <c r="AI81" s="143"/>
      <c r="AJ81" s="143"/>
      <c r="AK81" s="143"/>
      <c r="AL81" s="143"/>
      <c r="AM81" s="143"/>
      <c r="AN81" s="143"/>
      <c r="AO81" s="143"/>
      <c r="AP81" s="143"/>
      <c r="AQ81" s="143" t="s">
        <v>529</v>
      </c>
      <c r="AR81" s="143" t="s">
        <v>39</v>
      </c>
      <c r="AS81" s="143"/>
      <c r="AT81" s="143"/>
      <c r="AU81" s="143"/>
      <c r="AV81" s="143" t="s">
        <v>421</v>
      </c>
      <c r="AW81" s="148"/>
      <c r="AX81" s="148"/>
      <c r="AY81" s="143"/>
      <c r="AZ81" s="143"/>
      <c r="BA81" s="143"/>
      <c r="BB81" s="143" t="s">
        <v>422</v>
      </c>
      <c r="BC81" s="142">
        <v>0</v>
      </c>
      <c r="BD81" s="142">
        <v>0</v>
      </c>
      <c r="BE81" s="142">
        <v>0.48399999999999999</v>
      </c>
      <c r="BF81" s="142">
        <v>7.38</v>
      </c>
      <c r="BG81" s="142">
        <v>0.50600000000000001</v>
      </c>
      <c r="BH81" s="142">
        <v>15.237</v>
      </c>
      <c r="BI81" s="142">
        <v>0.75700000000000001</v>
      </c>
      <c r="BJ81" s="142">
        <v>0</v>
      </c>
      <c r="BK81" s="142">
        <v>0.44900000000000001</v>
      </c>
      <c r="BL81" s="142">
        <v>0</v>
      </c>
      <c r="BM81" s="142">
        <v>0</v>
      </c>
      <c r="BN81" s="142">
        <v>8.2000000000000003E-2</v>
      </c>
      <c r="BO81" s="142">
        <v>0</v>
      </c>
      <c r="BP81" s="142">
        <v>0</v>
      </c>
      <c r="BQ81" s="142">
        <v>0.90400000000000003</v>
      </c>
      <c r="BR81" s="142">
        <v>0.44900000000000001</v>
      </c>
      <c r="BS81" s="142">
        <v>0.45500000000000002</v>
      </c>
      <c r="BT81" s="142">
        <v>2</v>
      </c>
      <c r="BU81" s="142">
        <v>24.3</v>
      </c>
      <c r="BV81" s="142">
        <v>54.9</v>
      </c>
      <c r="BW81" s="143" t="s">
        <v>419</v>
      </c>
    </row>
    <row r="82" spans="5:75">
      <c r="E82" s="143" t="s">
        <v>344</v>
      </c>
      <c r="F82" s="153" t="s">
        <v>423</v>
      </c>
      <c r="G82" s="143" t="s">
        <v>525</v>
      </c>
      <c r="H82" s="153" t="s">
        <v>526</v>
      </c>
      <c r="I82" s="144" t="s">
        <v>527</v>
      </c>
      <c r="J82" s="144" t="s">
        <v>576</v>
      </c>
      <c r="K82" s="144"/>
      <c r="L82" s="144"/>
      <c r="M82" s="147">
        <v>69771</v>
      </c>
      <c r="N82" s="146">
        <v>12800</v>
      </c>
      <c r="O82" s="142" t="s">
        <v>577</v>
      </c>
      <c r="P82" s="143" t="s">
        <v>37</v>
      </c>
      <c r="Q82" s="143" t="s">
        <v>428</v>
      </c>
      <c r="R82" s="147">
        <v>64000</v>
      </c>
      <c r="S82" s="146">
        <v>20320</v>
      </c>
      <c r="T82" s="148">
        <v>40087</v>
      </c>
      <c r="U82" s="149"/>
      <c r="V82" s="150">
        <v>10</v>
      </c>
      <c r="W82" s="143"/>
      <c r="X82" s="143"/>
      <c r="Y82" s="143" t="s">
        <v>527</v>
      </c>
      <c r="Z82" s="143"/>
      <c r="AA82" s="143"/>
      <c r="AB82" s="143"/>
      <c r="AC82" s="143"/>
      <c r="AD82" s="143" t="s">
        <v>576</v>
      </c>
      <c r="AE82" s="143"/>
      <c r="AF82" s="143" t="s">
        <v>416</v>
      </c>
      <c r="AG82" s="143"/>
      <c r="AH82" s="143"/>
      <c r="AI82" s="143"/>
      <c r="AJ82" s="143"/>
      <c r="AK82" s="143"/>
      <c r="AL82" s="143"/>
      <c r="AM82" s="143"/>
      <c r="AN82" s="143"/>
      <c r="AO82" s="143"/>
      <c r="AP82" s="143"/>
      <c r="AQ82" s="143" t="s">
        <v>529</v>
      </c>
      <c r="AR82" s="143" t="s">
        <v>39</v>
      </c>
      <c r="AS82" s="143"/>
      <c r="AT82" s="143"/>
      <c r="AU82" s="143"/>
      <c r="AV82" s="143" t="s">
        <v>421</v>
      </c>
      <c r="AW82" s="148"/>
      <c r="AX82" s="148"/>
      <c r="AY82" s="143"/>
      <c r="AZ82" s="143"/>
      <c r="BA82" s="143"/>
      <c r="BB82" s="143" t="s">
        <v>422</v>
      </c>
      <c r="BC82" s="142">
        <v>0</v>
      </c>
      <c r="BD82" s="142">
        <v>0</v>
      </c>
      <c r="BE82" s="142">
        <v>0.48399999999999999</v>
      </c>
      <c r="BF82" s="142">
        <v>7.6180000000000003</v>
      </c>
      <c r="BG82" s="142">
        <v>0.50600000000000001</v>
      </c>
      <c r="BH82" s="142">
        <v>15.728</v>
      </c>
      <c r="BI82" s="142">
        <v>0.75700000000000001</v>
      </c>
      <c r="BJ82" s="142">
        <v>0</v>
      </c>
      <c r="BK82" s="142">
        <v>0.44900000000000001</v>
      </c>
      <c r="BL82" s="142">
        <v>0</v>
      </c>
      <c r="BM82" s="142">
        <v>0</v>
      </c>
      <c r="BN82" s="142">
        <v>8.2000000000000003E-2</v>
      </c>
      <c r="BO82" s="142">
        <v>0</v>
      </c>
      <c r="BP82" s="142">
        <v>0</v>
      </c>
      <c r="BQ82" s="142">
        <v>0.90400000000000003</v>
      </c>
      <c r="BR82" s="142">
        <v>0.44900000000000001</v>
      </c>
      <c r="BS82" s="142">
        <v>0.45500000000000002</v>
      </c>
      <c r="BT82" s="142">
        <v>2</v>
      </c>
      <c r="BU82" s="142">
        <v>24.3</v>
      </c>
      <c r="BV82" s="142">
        <v>56.7</v>
      </c>
      <c r="BW82" s="143" t="s">
        <v>419</v>
      </c>
    </row>
    <row r="83" spans="5:75">
      <c r="E83" s="143" t="s">
        <v>344</v>
      </c>
      <c r="F83" s="153" t="s">
        <v>423</v>
      </c>
      <c r="G83" s="143" t="s">
        <v>525</v>
      </c>
      <c r="H83" s="153" t="s">
        <v>526</v>
      </c>
      <c r="I83" s="144" t="s">
        <v>527</v>
      </c>
      <c r="J83" s="144" t="s">
        <v>578</v>
      </c>
      <c r="K83" s="144"/>
      <c r="L83" s="144"/>
      <c r="M83" s="147">
        <v>71951</v>
      </c>
      <c r="N83" s="146">
        <v>13200</v>
      </c>
      <c r="O83" s="142" t="s">
        <v>579</v>
      </c>
      <c r="P83" s="143" t="s">
        <v>37</v>
      </c>
      <c r="Q83" s="143" t="s">
        <v>428</v>
      </c>
      <c r="R83" s="147">
        <v>66000</v>
      </c>
      <c r="S83" s="146">
        <v>20955</v>
      </c>
      <c r="T83" s="148">
        <v>40087</v>
      </c>
      <c r="U83" s="149"/>
      <c r="V83" s="150">
        <v>10</v>
      </c>
      <c r="W83" s="143"/>
      <c r="X83" s="143"/>
      <c r="Y83" s="143" t="s">
        <v>527</v>
      </c>
      <c r="Z83" s="143"/>
      <c r="AA83" s="143"/>
      <c r="AB83" s="143"/>
      <c r="AC83" s="143"/>
      <c r="AD83" s="143" t="s">
        <v>578</v>
      </c>
      <c r="AE83" s="143"/>
      <c r="AF83" s="143" t="s">
        <v>416</v>
      </c>
      <c r="AG83" s="143"/>
      <c r="AH83" s="143"/>
      <c r="AI83" s="143"/>
      <c r="AJ83" s="143"/>
      <c r="AK83" s="143"/>
      <c r="AL83" s="143"/>
      <c r="AM83" s="143"/>
      <c r="AN83" s="143"/>
      <c r="AO83" s="143"/>
      <c r="AP83" s="143"/>
      <c r="AQ83" s="143" t="s">
        <v>529</v>
      </c>
      <c r="AR83" s="143" t="s">
        <v>39</v>
      </c>
      <c r="AS83" s="143"/>
      <c r="AT83" s="143"/>
      <c r="AU83" s="143"/>
      <c r="AV83" s="143" t="s">
        <v>421</v>
      </c>
      <c r="AW83" s="148"/>
      <c r="AX83" s="148"/>
      <c r="AY83" s="143"/>
      <c r="AZ83" s="143"/>
      <c r="BA83" s="143"/>
      <c r="BB83" s="143" t="s">
        <v>422</v>
      </c>
      <c r="BC83" s="142">
        <v>0</v>
      </c>
      <c r="BD83" s="142">
        <v>0</v>
      </c>
      <c r="BE83" s="142">
        <v>0.48399999999999999</v>
      </c>
      <c r="BF83" s="142">
        <v>7.8559999999999999</v>
      </c>
      <c r="BG83" s="142">
        <v>0.50600000000000001</v>
      </c>
      <c r="BH83" s="142">
        <v>16.22</v>
      </c>
      <c r="BI83" s="142">
        <v>0.75700000000000001</v>
      </c>
      <c r="BJ83" s="142">
        <v>0</v>
      </c>
      <c r="BK83" s="142">
        <v>0.44900000000000001</v>
      </c>
      <c r="BL83" s="142">
        <v>0</v>
      </c>
      <c r="BM83" s="142">
        <v>0</v>
      </c>
      <c r="BN83" s="142">
        <v>8.2000000000000003E-2</v>
      </c>
      <c r="BO83" s="142">
        <v>0</v>
      </c>
      <c r="BP83" s="142">
        <v>0</v>
      </c>
      <c r="BQ83" s="142">
        <v>0.90400000000000003</v>
      </c>
      <c r="BR83" s="142">
        <v>0.44900000000000001</v>
      </c>
      <c r="BS83" s="142">
        <v>0.45500000000000002</v>
      </c>
      <c r="BT83" s="142">
        <v>2</v>
      </c>
      <c r="BU83" s="142">
        <v>24.3</v>
      </c>
      <c r="BV83" s="142">
        <v>58.5</v>
      </c>
      <c r="BW83" s="143" t="s">
        <v>419</v>
      </c>
    </row>
    <row r="84" spans="5:75">
      <c r="E84" s="143" t="s">
        <v>344</v>
      </c>
      <c r="F84" s="153" t="s">
        <v>423</v>
      </c>
      <c r="G84" s="143" t="s">
        <v>525</v>
      </c>
      <c r="H84" s="153" t="s">
        <v>526</v>
      </c>
      <c r="I84" s="144" t="s">
        <v>527</v>
      </c>
      <c r="J84" s="144" t="s">
        <v>580</v>
      </c>
      <c r="K84" s="144"/>
      <c r="L84" s="144"/>
      <c r="M84" s="147">
        <v>74131</v>
      </c>
      <c r="N84" s="146">
        <v>13600</v>
      </c>
      <c r="O84" s="142" t="s">
        <v>581</v>
      </c>
      <c r="P84" s="143" t="s">
        <v>37</v>
      </c>
      <c r="Q84" s="143" t="s">
        <v>428</v>
      </c>
      <c r="R84" s="147">
        <v>68000</v>
      </c>
      <c r="S84" s="146">
        <v>21590</v>
      </c>
      <c r="T84" s="148">
        <v>40087</v>
      </c>
      <c r="U84" s="149"/>
      <c r="V84" s="150">
        <v>10</v>
      </c>
      <c r="W84" s="143"/>
      <c r="X84" s="143"/>
      <c r="Y84" s="143" t="s">
        <v>527</v>
      </c>
      <c r="Z84" s="143"/>
      <c r="AA84" s="143"/>
      <c r="AB84" s="143"/>
      <c r="AC84" s="143"/>
      <c r="AD84" s="143" t="s">
        <v>580</v>
      </c>
      <c r="AE84" s="143"/>
      <c r="AF84" s="143" t="s">
        <v>416</v>
      </c>
      <c r="AG84" s="143"/>
      <c r="AH84" s="143"/>
      <c r="AI84" s="143"/>
      <c r="AJ84" s="143"/>
      <c r="AK84" s="143"/>
      <c r="AL84" s="143"/>
      <c r="AM84" s="143"/>
      <c r="AN84" s="143"/>
      <c r="AO84" s="143"/>
      <c r="AP84" s="143"/>
      <c r="AQ84" s="143" t="s">
        <v>529</v>
      </c>
      <c r="AR84" s="143" t="s">
        <v>39</v>
      </c>
      <c r="AS84" s="143"/>
      <c r="AT84" s="143"/>
      <c r="AU84" s="143"/>
      <c r="AV84" s="143" t="s">
        <v>421</v>
      </c>
      <c r="AW84" s="148"/>
      <c r="AX84" s="148"/>
      <c r="AY84" s="143"/>
      <c r="AZ84" s="143"/>
      <c r="BA84" s="143"/>
      <c r="BB84" s="143" t="s">
        <v>422</v>
      </c>
      <c r="BC84" s="142">
        <v>0</v>
      </c>
      <c r="BD84" s="142">
        <v>0</v>
      </c>
      <c r="BE84" s="142">
        <v>0.48399999999999999</v>
      </c>
      <c r="BF84" s="142">
        <v>8.0950000000000006</v>
      </c>
      <c r="BG84" s="142">
        <v>0.50600000000000001</v>
      </c>
      <c r="BH84" s="142">
        <v>16.710999999999999</v>
      </c>
      <c r="BI84" s="142">
        <v>0.75700000000000001</v>
      </c>
      <c r="BJ84" s="142">
        <v>0</v>
      </c>
      <c r="BK84" s="142">
        <v>0.44900000000000001</v>
      </c>
      <c r="BL84" s="142">
        <v>0</v>
      </c>
      <c r="BM84" s="142">
        <v>0</v>
      </c>
      <c r="BN84" s="142">
        <v>8.2000000000000003E-2</v>
      </c>
      <c r="BO84" s="142">
        <v>0</v>
      </c>
      <c r="BP84" s="142">
        <v>0</v>
      </c>
      <c r="BQ84" s="142">
        <v>0.90400000000000003</v>
      </c>
      <c r="BR84" s="142">
        <v>0.44900000000000001</v>
      </c>
      <c r="BS84" s="142">
        <v>0.45500000000000002</v>
      </c>
      <c r="BT84" s="142">
        <v>2</v>
      </c>
      <c r="BU84" s="142">
        <v>24.3</v>
      </c>
      <c r="BV84" s="142">
        <v>60.2</v>
      </c>
      <c r="BW84" s="143" t="s">
        <v>419</v>
      </c>
    </row>
    <row r="85" spans="5:75">
      <c r="E85" s="143" t="s">
        <v>344</v>
      </c>
      <c r="F85" s="153" t="s">
        <v>423</v>
      </c>
      <c r="G85" s="143" t="s">
        <v>525</v>
      </c>
      <c r="H85" s="153" t="s">
        <v>526</v>
      </c>
      <c r="I85" s="144" t="s">
        <v>527</v>
      </c>
      <c r="J85" s="144" t="s">
        <v>582</v>
      </c>
      <c r="K85" s="144"/>
      <c r="L85" s="144"/>
      <c r="M85" s="147">
        <v>76312</v>
      </c>
      <c r="N85" s="146">
        <v>14000</v>
      </c>
      <c r="O85" s="142" t="s">
        <v>583</v>
      </c>
      <c r="P85" s="143" t="s">
        <v>37</v>
      </c>
      <c r="Q85" s="143" t="s">
        <v>428</v>
      </c>
      <c r="R85" s="147">
        <v>70000</v>
      </c>
      <c r="S85" s="146">
        <v>22225</v>
      </c>
      <c r="T85" s="148">
        <v>40087</v>
      </c>
      <c r="U85" s="149"/>
      <c r="V85" s="150">
        <v>10</v>
      </c>
      <c r="W85" s="143"/>
      <c r="X85" s="143"/>
      <c r="Y85" s="143" t="s">
        <v>527</v>
      </c>
      <c r="Z85" s="143"/>
      <c r="AA85" s="143"/>
      <c r="AB85" s="143"/>
      <c r="AC85" s="143"/>
      <c r="AD85" s="143" t="s">
        <v>582</v>
      </c>
      <c r="AE85" s="143"/>
      <c r="AF85" s="143" t="s">
        <v>416</v>
      </c>
      <c r="AG85" s="143"/>
      <c r="AH85" s="143"/>
      <c r="AI85" s="143"/>
      <c r="AJ85" s="143"/>
      <c r="AK85" s="143"/>
      <c r="AL85" s="143"/>
      <c r="AM85" s="143"/>
      <c r="AN85" s="143"/>
      <c r="AO85" s="143"/>
      <c r="AP85" s="143"/>
      <c r="AQ85" s="143" t="s">
        <v>529</v>
      </c>
      <c r="AR85" s="143" t="s">
        <v>39</v>
      </c>
      <c r="AS85" s="143"/>
      <c r="AT85" s="143"/>
      <c r="AU85" s="143"/>
      <c r="AV85" s="143" t="s">
        <v>421</v>
      </c>
      <c r="AW85" s="148"/>
      <c r="AX85" s="148"/>
      <c r="AY85" s="143"/>
      <c r="AZ85" s="143"/>
      <c r="BA85" s="143"/>
      <c r="BB85" s="143" t="s">
        <v>422</v>
      </c>
      <c r="BC85" s="142">
        <v>0</v>
      </c>
      <c r="BD85" s="142">
        <v>0</v>
      </c>
      <c r="BE85" s="142">
        <v>0.48399999999999999</v>
      </c>
      <c r="BF85" s="142">
        <v>8.3330000000000002</v>
      </c>
      <c r="BG85" s="142">
        <v>0.50600000000000001</v>
      </c>
      <c r="BH85" s="142">
        <v>17.202999999999999</v>
      </c>
      <c r="BI85" s="142">
        <v>0.75700000000000001</v>
      </c>
      <c r="BJ85" s="142">
        <v>0</v>
      </c>
      <c r="BK85" s="142">
        <v>0.44900000000000001</v>
      </c>
      <c r="BL85" s="142">
        <v>0</v>
      </c>
      <c r="BM85" s="142">
        <v>0</v>
      </c>
      <c r="BN85" s="142">
        <v>8.2000000000000003E-2</v>
      </c>
      <c r="BO85" s="142">
        <v>0</v>
      </c>
      <c r="BP85" s="142">
        <v>0</v>
      </c>
      <c r="BQ85" s="142">
        <v>0.90400000000000003</v>
      </c>
      <c r="BR85" s="142">
        <v>0.44900000000000001</v>
      </c>
      <c r="BS85" s="142">
        <v>0.45500000000000002</v>
      </c>
      <c r="BT85" s="142">
        <v>2</v>
      </c>
      <c r="BU85" s="142">
        <v>24.3</v>
      </c>
      <c r="BV85" s="142">
        <v>62</v>
      </c>
      <c r="BW85" s="143" t="s">
        <v>419</v>
      </c>
    </row>
    <row r="86" spans="5:75">
      <c r="E86" s="143" t="s">
        <v>344</v>
      </c>
      <c r="F86" s="153" t="s">
        <v>423</v>
      </c>
      <c r="G86" s="143" t="s">
        <v>525</v>
      </c>
      <c r="H86" s="153" t="s">
        <v>526</v>
      </c>
      <c r="I86" s="144" t="s">
        <v>527</v>
      </c>
      <c r="J86" s="144" t="s">
        <v>584</v>
      </c>
      <c r="K86" s="144"/>
      <c r="L86" s="144"/>
      <c r="M86" s="147">
        <v>78492</v>
      </c>
      <c r="N86" s="146">
        <v>14400</v>
      </c>
      <c r="O86" s="142" t="s">
        <v>585</v>
      </c>
      <c r="P86" s="143" t="s">
        <v>37</v>
      </c>
      <c r="Q86" s="143" t="s">
        <v>428</v>
      </c>
      <c r="R86" s="147">
        <v>72000</v>
      </c>
      <c r="S86" s="146">
        <v>22860</v>
      </c>
      <c r="T86" s="148">
        <v>40087</v>
      </c>
      <c r="U86" s="149"/>
      <c r="V86" s="150">
        <v>10</v>
      </c>
      <c r="W86" s="143"/>
      <c r="X86" s="143"/>
      <c r="Y86" s="143" t="s">
        <v>527</v>
      </c>
      <c r="Z86" s="143"/>
      <c r="AA86" s="143"/>
      <c r="AB86" s="143"/>
      <c r="AC86" s="143"/>
      <c r="AD86" s="143" t="s">
        <v>584</v>
      </c>
      <c r="AE86" s="143"/>
      <c r="AF86" s="143" t="s">
        <v>416</v>
      </c>
      <c r="AG86" s="143"/>
      <c r="AH86" s="143"/>
      <c r="AI86" s="143"/>
      <c r="AJ86" s="143"/>
      <c r="AK86" s="143"/>
      <c r="AL86" s="143"/>
      <c r="AM86" s="143"/>
      <c r="AN86" s="143"/>
      <c r="AO86" s="143"/>
      <c r="AP86" s="143"/>
      <c r="AQ86" s="143" t="s">
        <v>529</v>
      </c>
      <c r="AR86" s="143" t="s">
        <v>39</v>
      </c>
      <c r="AS86" s="143"/>
      <c r="AT86" s="143"/>
      <c r="AU86" s="143"/>
      <c r="AV86" s="143" t="s">
        <v>421</v>
      </c>
      <c r="AW86" s="148"/>
      <c r="AX86" s="148"/>
      <c r="AY86" s="143"/>
      <c r="AZ86" s="143"/>
      <c r="BA86" s="143"/>
      <c r="BB86" s="143" t="s">
        <v>422</v>
      </c>
      <c r="BC86" s="142">
        <v>0</v>
      </c>
      <c r="BD86" s="142">
        <v>0</v>
      </c>
      <c r="BE86" s="142">
        <v>0.48399999999999999</v>
      </c>
      <c r="BF86" s="142">
        <v>8.5709999999999997</v>
      </c>
      <c r="BG86" s="142">
        <v>0.50600000000000001</v>
      </c>
      <c r="BH86" s="142">
        <v>17.693999999999999</v>
      </c>
      <c r="BI86" s="142">
        <v>0.75700000000000001</v>
      </c>
      <c r="BJ86" s="142">
        <v>0</v>
      </c>
      <c r="BK86" s="142">
        <v>0.44900000000000001</v>
      </c>
      <c r="BL86" s="142">
        <v>0</v>
      </c>
      <c r="BM86" s="142">
        <v>0</v>
      </c>
      <c r="BN86" s="142">
        <v>8.2000000000000003E-2</v>
      </c>
      <c r="BO86" s="142">
        <v>0</v>
      </c>
      <c r="BP86" s="142">
        <v>0</v>
      </c>
      <c r="BQ86" s="142">
        <v>0.90400000000000003</v>
      </c>
      <c r="BR86" s="142">
        <v>0.44900000000000001</v>
      </c>
      <c r="BS86" s="142">
        <v>0.45500000000000002</v>
      </c>
      <c r="BT86" s="142">
        <v>2</v>
      </c>
      <c r="BU86" s="142">
        <v>24.3</v>
      </c>
      <c r="BV86" s="142">
        <v>63.8</v>
      </c>
      <c r="BW86" s="143" t="s">
        <v>419</v>
      </c>
    </row>
    <row r="87" spans="5:75">
      <c r="E87" s="143" t="s">
        <v>344</v>
      </c>
      <c r="F87" s="153" t="s">
        <v>423</v>
      </c>
      <c r="G87" s="143" t="s">
        <v>525</v>
      </c>
      <c r="H87" s="153" t="s">
        <v>526</v>
      </c>
      <c r="I87" s="144" t="s">
        <v>527</v>
      </c>
      <c r="J87" s="144" t="s">
        <v>586</v>
      </c>
      <c r="K87" s="144"/>
      <c r="L87" s="144"/>
      <c r="M87" s="147">
        <v>80672</v>
      </c>
      <c r="N87" s="146">
        <v>14800</v>
      </c>
      <c r="O87" s="142" t="s">
        <v>587</v>
      </c>
      <c r="P87" s="143" t="s">
        <v>37</v>
      </c>
      <c r="Q87" s="143" t="s">
        <v>428</v>
      </c>
      <c r="R87" s="147">
        <v>74000</v>
      </c>
      <c r="S87" s="146">
        <v>23495</v>
      </c>
      <c r="T87" s="148">
        <v>40087</v>
      </c>
      <c r="U87" s="149"/>
      <c r="V87" s="150">
        <v>10</v>
      </c>
      <c r="W87" s="143"/>
      <c r="X87" s="143"/>
      <c r="Y87" s="143" t="s">
        <v>527</v>
      </c>
      <c r="Z87" s="143"/>
      <c r="AA87" s="143"/>
      <c r="AB87" s="143"/>
      <c r="AC87" s="143"/>
      <c r="AD87" s="143" t="s">
        <v>586</v>
      </c>
      <c r="AE87" s="143"/>
      <c r="AF87" s="143" t="s">
        <v>416</v>
      </c>
      <c r="AG87" s="143"/>
      <c r="AH87" s="143"/>
      <c r="AI87" s="143"/>
      <c r="AJ87" s="143"/>
      <c r="AK87" s="143"/>
      <c r="AL87" s="143"/>
      <c r="AM87" s="143"/>
      <c r="AN87" s="143"/>
      <c r="AO87" s="143"/>
      <c r="AP87" s="143"/>
      <c r="AQ87" s="143" t="s">
        <v>529</v>
      </c>
      <c r="AR87" s="143" t="s">
        <v>39</v>
      </c>
      <c r="AS87" s="143"/>
      <c r="AT87" s="143"/>
      <c r="AU87" s="143"/>
      <c r="AV87" s="143" t="s">
        <v>421</v>
      </c>
      <c r="AW87" s="148"/>
      <c r="AX87" s="148"/>
      <c r="AY87" s="143"/>
      <c r="AZ87" s="143"/>
      <c r="BA87" s="143"/>
      <c r="BB87" s="143" t="s">
        <v>422</v>
      </c>
      <c r="BC87" s="142">
        <v>0</v>
      </c>
      <c r="BD87" s="142">
        <v>0</v>
      </c>
      <c r="BE87" s="142">
        <v>0.48399999999999999</v>
      </c>
      <c r="BF87" s="142">
        <v>8.8089999999999993</v>
      </c>
      <c r="BG87" s="142">
        <v>0.50600000000000001</v>
      </c>
      <c r="BH87" s="142">
        <v>18.186</v>
      </c>
      <c r="BI87" s="142">
        <v>0.75700000000000001</v>
      </c>
      <c r="BJ87" s="142">
        <v>0</v>
      </c>
      <c r="BK87" s="142">
        <v>0.44900000000000001</v>
      </c>
      <c r="BL87" s="142">
        <v>0</v>
      </c>
      <c r="BM87" s="142">
        <v>0</v>
      </c>
      <c r="BN87" s="142">
        <v>8.2000000000000003E-2</v>
      </c>
      <c r="BO87" s="142">
        <v>0</v>
      </c>
      <c r="BP87" s="142">
        <v>0</v>
      </c>
      <c r="BQ87" s="142">
        <v>0.90400000000000003</v>
      </c>
      <c r="BR87" s="142">
        <v>0.44900000000000001</v>
      </c>
      <c r="BS87" s="142">
        <v>0.45500000000000002</v>
      </c>
      <c r="BT87" s="142">
        <v>2</v>
      </c>
      <c r="BU87" s="142">
        <v>24.3</v>
      </c>
      <c r="BV87" s="142">
        <v>65.5</v>
      </c>
      <c r="BW87" s="143" t="s">
        <v>419</v>
      </c>
    </row>
    <row r="88" spans="5:75">
      <c r="E88" s="143" t="s">
        <v>344</v>
      </c>
      <c r="F88" s="153" t="s">
        <v>423</v>
      </c>
      <c r="G88" s="143" t="s">
        <v>525</v>
      </c>
      <c r="H88" s="153" t="s">
        <v>526</v>
      </c>
      <c r="I88" s="144" t="s">
        <v>527</v>
      </c>
      <c r="J88" s="144" t="s">
        <v>588</v>
      </c>
      <c r="K88" s="144"/>
      <c r="L88" s="144"/>
      <c r="M88" s="147">
        <v>82853</v>
      </c>
      <c r="N88" s="146">
        <v>15200</v>
      </c>
      <c r="O88" s="142" t="s">
        <v>589</v>
      </c>
      <c r="P88" s="143" t="s">
        <v>37</v>
      </c>
      <c r="Q88" s="143" t="s">
        <v>428</v>
      </c>
      <c r="R88" s="147">
        <v>76000</v>
      </c>
      <c r="S88" s="146">
        <v>24130</v>
      </c>
      <c r="T88" s="148">
        <v>40087</v>
      </c>
      <c r="U88" s="149"/>
      <c r="V88" s="150">
        <v>10</v>
      </c>
      <c r="W88" s="143"/>
      <c r="X88" s="143"/>
      <c r="Y88" s="143" t="s">
        <v>527</v>
      </c>
      <c r="Z88" s="143"/>
      <c r="AA88" s="143"/>
      <c r="AB88" s="143"/>
      <c r="AC88" s="143"/>
      <c r="AD88" s="143" t="s">
        <v>588</v>
      </c>
      <c r="AE88" s="143"/>
      <c r="AF88" s="143" t="s">
        <v>416</v>
      </c>
      <c r="AG88" s="143"/>
      <c r="AH88" s="143"/>
      <c r="AI88" s="143"/>
      <c r="AJ88" s="143"/>
      <c r="AK88" s="143"/>
      <c r="AL88" s="143"/>
      <c r="AM88" s="143"/>
      <c r="AN88" s="143"/>
      <c r="AO88" s="143"/>
      <c r="AP88" s="143"/>
      <c r="AQ88" s="143" t="s">
        <v>529</v>
      </c>
      <c r="AR88" s="143" t="s">
        <v>39</v>
      </c>
      <c r="AS88" s="143"/>
      <c r="AT88" s="143"/>
      <c r="AU88" s="143"/>
      <c r="AV88" s="143" t="s">
        <v>421</v>
      </c>
      <c r="AW88" s="148"/>
      <c r="AX88" s="148"/>
      <c r="AY88" s="143"/>
      <c r="AZ88" s="143"/>
      <c r="BA88" s="143"/>
      <c r="BB88" s="143" t="s">
        <v>422</v>
      </c>
      <c r="BC88" s="142">
        <v>0</v>
      </c>
      <c r="BD88" s="142">
        <v>0</v>
      </c>
      <c r="BE88" s="142">
        <v>0.48399999999999999</v>
      </c>
      <c r="BF88" s="142">
        <v>9.0470000000000006</v>
      </c>
      <c r="BG88" s="142">
        <v>0.50600000000000001</v>
      </c>
      <c r="BH88" s="142">
        <v>18.677</v>
      </c>
      <c r="BI88" s="142">
        <v>0.75700000000000001</v>
      </c>
      <c r="BJ88" s="142">
        <v>0</v>
      </c>
      <c r="BK88" s="142">
        <v>0.44900000000000001</v>
      </c>
      <c r="BL88" s="142">
        <v>0</v>
      </c>
      <c r="BM88" s="142">
        <v>0</v>
      </c>
      <c r="BN88" s="142">
        <v>8.2000000000000003E-2</v>
      </c>
      <c r="BO88" s="142">
        <v>0</v>
      </c>
      <c r="BP88" s="142">
        <v>0</v>
      </c>
      <c r="BQ88" s="142">
        <v>0.90400000000000003</v>
      </c>
      <c r="BR88" s="142">
        <v>0.44900000000000001</v>
      </c>
      <c r="BS88" s="142">
        <v>0.45500000000000002</v>
      </c>
      <c r="BT88" s="142">
        <v>2</v>
      </c>
      <c r="BU88" s="142">
        <v>24.3</v>
      </c>
      <c r="BV88" s="142">
        <v>67.3</v>
      </c>
      <c r="BW88" s="143" t="s">
        <v>419</v>
      </c>
    </row>
    <row r="89" spans="5:75">
      <c r="E89" s="143" t="s">
        <v>344</v>
      </c>
      <c r="F89" s="153" t="s">
        <v>423</v>
      </c>
      <c r="G89" s="143" t="s">
        <v>525</v>
      </c>
      <c r="H89" s="153" t="s">
        <v>526</v>
      </c>
      <c r="I89" s="144" t="s">
        <v>527</v>
      </c>
      <c r="J89" s="144" t="s">
        <v>590</v>
      </c>
      <c r="K89" s="144"/>
      <c r="L89" s="144"/>
      <c r="M89" s="147">
        <v>85033</v>
      </c>
      <c r="N89" s="146">
        <v>15600</v>
      </c>
      <c r="O89" s="142" t="s">
        <v>591</v>
      </c>
      <c r="P89" s="143" t="s">
        <v>37</v>
      </c>
      <c r="Q89" s="143" t="s">
        <v>428</v>
      </c>
      <c r="R89" s="147">
        <v>78000</v>
      </c>
      <c r="S89" s="146">
        <v>24765</v>
      </c>
      <c r="T89" s="148">
        <v>40087</v>
      </c>
      <c r="U89" s="149"/>
      <c r="V89" s="150">
        <v>10</v>
      </c>
      <c r="W89" s="143"/>
      <c r="X89" s="143"/>
      <c r="Y89" s="143" t="s">
        <v>527</v>
      </c>
      <c r="Z89" s="143"/>
      <c r="AA89" s="143"/>
      <c r="AB89" s="143"/>
      <c r="AC89" s="143"/>
      <c r="AD89" s="143" t="s">
        <v>590</v>
      </c>
      <c r="AE89" s="143"/>
      <c r="AF89" s="143" t="s">
        <v>416</v>
      </c>
      <c r="AG89" s="143"/>
      <c r="AH89" s="143"/>
      <c r="AI89" s="143"/>
      <c r="AJ89" s="143"/>
      <c r="AK89" s="143"/>
      <c r="AL89" s="143"/>
      <c r="AM89" s="143"/>
      <c r="AN89" s="143"/>
      <c r="AO89" s="143"/>
      <c r="AP89" s="143"/>
      <c r="AQ89" s="143" t="s">
        <v>529</v>
      </c>
      <c r="AR89" s="143" t="s">
        <v>39</v>
      </c>
      <c r="AS89" s="143"/>
      <c r="AT89" s="143"/>
      <c r="AU89" s="143"/>
      <c r="AV89" s="143" t="s">
        <v>421</v>
      </c>
      <c r="AW89" s="148"/>
      <c r="AX89" s="148"/>
      <c r="AY89" s="143"/>
      <c r="AZ89" s="143"/>
      <c r="BA89" s="143"/>
      <c r="BB89" s="143" t="s">
        <v>422</v>
      </c>
      <c r="BC89" s="142">
        <v>0</v>
      </c>
      <c r="BD89" s="142">
        <v>0</v>
      </c>
      <c r="BE89" s="142">
        <v>0.48399999999999999</v>
      </c>
      <c r="BF89" s="142">
        <v>9.2850000000000001</v>
      </c>
      <c r="BG89" s="142">
        <v>0.50600000000000001</v>
      </c>
      <c r="BH89" s="142">
        <v>19.169</v>
      </c>
      <c r="BI89" s="142">
        <v>0.75700000000000001</v>
      </c>
      <c r="BJ89" s="142">
        <v>0</v>
      </c>
      <c r="BK89" s="142">
        <v>0.44900000000000001</v>
      </c>
      <c r="BL89" s="142">
        <v>0</v>
      </c>
      <c r="BM89" s="142">
        <v>0</v>
      </c>
      <c r="BN89" s="142">
        <v>8.2000000000000003E-2</v>
      </c>
      <c r="BO89" s="142">
        <v>0</v>
      </c>
      <c r="BP89" s="142">
        <v>0</v>
      </c>
      <c r="BQ89" s="142">
        <v>0.90400000000000003</v>
      </c>
      <c r="BR89" s="142">
        <v>0.44900000000000001</v>
      </c>
      <c r="BS89" s="142">
        <v>0.45500000000000002</v>
      </c>
      <c r="BT89" s="142">
        <v>2</v>
      </c>
      <c r="BU89" s="142">
        <v>24.3</v>
      </c>
      <c r="BV89" s="142">
        <v>69.099999999999994</v>
      </c>
      <c r="BW89" s="143" t="s">
        <v>419</v>
      </c>
    </row>
    <row r="90" spans="5:75">
      <c r="E90" s="143" t="s">
        <v>344</v>
      </c>
      <c r="F90" s="153" t="s">
        <v>423</v>
      </c>
      <c r="G90" s="143" t="s">
        <v>525</v>
      </c>
      <c r="H90" s="153" t="s">
        <v>526</v>
      </c>
      <c r="I90" s="144" t="s">
        <v>527</v>
      </c>
      <c r="J90" s="144" t="s">
        <v>454</v>
      </c>
      <c r="K90" s="144"/>
      <c r="L90" s="144"/>
      <c r="M90" s="147">
        <v>87213</v>
      </c>
      <c r="N90" s="146">
        <v>16000</v>
      </c>
      <c r="O90" s="142" t="s">
        <v>592</v>
      </c>
      <c r="P90" s="143" t="s">
        <v>37</v>
      </c>
      <c r="Q90" s="143" t="s">
        <v>428</v>
      </c>
      <c r="R90" s="147">
        <v>80000</v>
      </c>
      <c r="S90" s="146">
        <v>25400</v>
      </c>
      <c r="T90" s="148">
        <v>40087</v>
      </c>
      <c r="U90" s="149"/>
      <c r="V90" s="150">
        <v>10</v>
      </c>
      <c r="W90" s="143"/>
      <c r="X90" s="143"/>
      <c r="Y90" s="143" t="s">
        <v>527</v>
      </c>
      <c r="Z90" s="143"/>
      <c r="AA90" s="143"/>
      <c r="AB90" s="143"/>
      <c r="AC90" s="143"/>
      <c r="AD90" s="143" t="s">
        <v>454</v>
      </c>
      <c r="AE90" s="143"/>
      <c r="AF90" s="143" t="s">
        <v>416</v>
      </c>
      <c r="AG90" s="143"/>
      <c r="AH90" s="143"/>
      <c r="AI90" s="143"/>
      <c r="AJ90" s="143"/>
      <c r="AK90" s="143"/>
      <c r="AL90" s="143"/>
      <c r="AM90" s="143"/>
      <c r="AN90" s="143"/>
      <c r="AO90" s="143"/>
      <c r="AP90" s="143"/>
      <c r="AQ90" s="143" t="s">
        <v>529</v>
      </c>
      <c r="AR90" s="143" t="s">
        <v>39</v>
      </c>
      <c r="AS90" s="143"/>
      <c r="AT90" s="143"/>
      <c r="AU90" s="143"/>
      <c r="AV90" s="143" t="s">
        <v>421</v>
      </c>
      <c r="AW90" s="148"/>
      <c r="AX90" s="148"/>
      <c r="AY90" s="143"/>
      <c r="AZ90" s="143"/>
      <c r="BA90" s="143"/>
      <c r="BB90" s="143" t="s">
        <v>422</v>
      </c>
      <c r="BC90" s="142">
        <v>0</v>
      </c>
      <c r="BD90" s="142">
        <v>0</v>
      </c>
      <c r="BE90" s="142">
        <v>0.48399999999999999</v>
      </c>
      <c r="BF90" s="142">
        <v>9.5229999999999997</v>
      </c>
      <c r="BG90" s="142">
        <v>0.50600000000000001</v>
      </c>
      <c r="BH90" s="142">
        <v>19.66</v>
      </c>
      <c r="BI90" s="142">
        <v>0.75700000000000001</v>
      </c>
      <c r="BJ90" s="142">
        <v>0</v>
      </c>
      <c r="BK90" s="142">
        <v>0.44900000000000001</v>
      </c>
      <c r="BL90" s="142">
        <v>0</v>
      </c>
      <c r="BM90" s="142">
        <v>0</v>
      </c>
      <c r="BN90" s="142">
        <v>8.2000000000000003E-2</v>
      </c>
      <c r="BO90" s="142">
        <v>0</v>
      </c>
      <c r="BP90" s="142">
        <v>0</v>
      </c>
      <c r="BQ90" s="142">
        <v>0.90400000000000003</v>
      </c>
      <c r="BR90" s="142">
        <v>0.44900000000000001</v>
      </c>
      <c r="BS90" s="142">
        <v>0.45500000000000002</v>
      </c>
      <c r="BT90" s="142">
        <v>2</v>
      </c>
      <c r="BU90" s="142">
        <v>24.3</v>
      </c>
      <c r="BV90" s="142">
        <v>70.900000000000006</v>
      </c>
      <c r="BW90" s="143" t="s">
        <v>419</v>
      </c>
    </row>
    <row r="91" spans="5:75">
      <c r="E91" s="143" t="s">
        <v>344</v>
      </c>
      <c r="F91" s="153" t="s">
        <v>423</v>
      </c>
      <c r="G91" s="143" t="s">
        <v>525</v>
      </c>
      <c r="H91" s="153" t="s">
        <v>526</v>
      </c>
      <c r="I91" s="144" t="s">
        <v>527</v>
      </c>
      <c r="J91" s="144" t="s">
        <v>593</v>
      </c>
      <c r="K91" s="144"/>
      <c r="L91" s="144"/>
      <c r="M91" s="147">
        <v>89394</v>
      </c>
      <c r="N91" s="146">
        <v>16400</v>
      </c>
      <c r="O91" s="142" t="s">
        <v>594</v>
      </c>
      <c r="P91" s="143" t="s">
        <v>37</v>
      </c>
      <c r="Q91" s="143" t="s">
        <v>428</v>
      </c>
      <c r="R91" s="147">
        <v>82000</v>
      </c>
      <c r="S91" s="146">
        <v>26035</v>
      </c>
      <c r="T91" s="148">
        <v>40087</v>
      </c>
      <c r="U91" s="149"/>
      <c r="V91" s="150">
        <v>10</v>
      </c>
      <c r="W91" s="143"/>
      <c r="X91" s="143"/>
      <c r="Y91" s="143" t="s">
        <v>527</v>
      </c>
      <c r="Z91" s="143"/>
      <c r="AA91" s="143"/>
      <c r="AB91" s="143"/>
      <c r="AC91" s="143"/>
      <c r="AD91" s="143" t="s">
        <v>593</v>
      </c>
      <c r="AE91" s="143"/>
      <c r="AF91" s="143" t="s">
        <v>416</v>
      </c>
      <c r="AG91" s="143"/>
      <c r="AH91" s="143"/>
      <c r="AI91" s="143"/>
      <c r="AJ91" s="143"/>
      <c r="AK91" s="143"/>
      <c r="AL91" s="143"/>
      <c r="AM91" s="143"/>
      <c r="AN91" s="143"/>
      <c r="AO91" s="143"/>
      <c r="AP91" s="143"/>
      <c r="AQ91" s="143" t="s">
        <v>529</v>
      </c>
      <c r="AR91" s="143" t="s">
        <v>39</v>
      </c>
      <c r="AS91" s="143"/>
      <c r="AT91" s="143"/>
      <c r="AU91" s="143"/>
      <c r="AV91" s="143" t="s">
        <v>421</v>
      </c>
      <c r="AW91" s="148"/>
      <c r="AX91" s="148"/>
      <c r="AY91" s="143"/>
      <c r="AZ91" s="143"/>
      <c r="BA91" s="143"/>
      <c r="BB91" s="143" t="s">
        <v>422</v>
      </c>
      <c r="BC91" s="142">
        <v>0</v>
      </c>
      <c r="BD91" s="142">
        <v>0</v>
      </c>
      <c r="BE91" s="142">
        <v>0.48399999999999999</v>
      </c>
      <c r="BF91" s="142">
        <v>9.7609999999999992</v>
      </c>
      <c r="BG91" s="142">
        <v>0.50600000000000001</v>
      </c>
      <c r="BH91" s="142">
        <v>20.152000000000001</v>
      </c>
      <c r="BI91" s="142">
        <v>0.75700000000000001</v>
      </c>
      <c r="BJ91" s="142">
        <v>0</v>
      </c>
      <c r="BK91" s="142">
        <v>0.44900000000000001</v>
      </c>
      <c r="BL91" s="142">
        <v>0</v>
      </c>
      <c r="BM91" s="142">
        <v>0</v>
      </c>
      <c r="BN91" s="142">
        <v>8.2000000000000003E-2</v>
      </c>
      <c r="BO91" s="142">
        <v>0</v>
      </c>
      <c r="BP91" s="142">
        <v>0</v>
      </c>
      <c r="BQ91" s="142">
        <v>0.90400000000000003</v>
      </c>
      <c r="BR91" s="142">
        <v>0.44900000000000001</v>
      </c>
      <c r="BS91" s="142">
        <v>0.45500000000000002</v>
      </c>
      <c r="BT91" s="142">
        <v>2</v>
      </c>
      <c r="BU91" s="142">
        <v>24.3</v>
      </c>
      <c r="BV91" s="142">
        <v>72.599999999999994</v>
      </c>
      <c r="BW91" s="143" t="s">
        <v>419</v>
      </c>
    </row>
    <row r="92" spans="5:75">
      <c r="E92" s="143" t="s">
        <v>344</v>
      </c>
      <c r="F92" s="153" t="s">
        <v>423</v>
      </c>
      <c r="G92" s="143" t="s">
        <v>525</v>
      </c>
      <c r="H92" s="153" t="s">
        <v>526</v>
      </c>
      <c r="I92" s="144" t="s">
        <v>527</v>
      </c>
      <c r="J92" s="144" t="s">
        <v>595</v>
      </c>
      <c r="K92" s="144"/>
      <c r="L92" s="144"/>
      <c r="M92" s="147">
        <v>91574</v>
      </c>
      <c r="N92" s="146">
        <v>16800</v>
      </c>
      <c r="O92" s="142" t="s">
        <v>596</v>
      </c>
      <c r="P92" s="143" t="s">
        <v>37</v>
      </c>
      <c r="Q92" s="143" t="s">
        <v>428</v>
      </c>
      <c r="R92" s="147">
        <v>84000</v>
      </c>
      <c r="S92" s="146">
        <v>26670</v>
      </c>
      <c r="T92" s="148">
        <v>40087</v>
      </c>
      <c r="U92" s="149"/>
      <c r="V92" s="150">
        <v>10</v>
      </c>
      <c r="W92" s="143"/>
      <c r="X92" s="143"/>
      <c r="Y92" s="143" t="s">
        <v>527</v>
      </c>
      <c r="Z92" s="143"/>
      <c r="AA92" s="143"/>
      <c r="AB92" s="143"/>
      <c r="AC92" s="143"/>
      <c r="AD92" s="143" t="s">
        <v>595</v>
      </c>
      <c r="AE92" s="143"/>
      <c r="AF92" s="143" t="s">
        <v>416</v>
      </c>
      <c r="AG92" s="143"/>
      <c r="AH92" s="143"/>
      <c r="AI92" s="143"/>
      <c r="AJ92" s="143"/>
      <c r="AK92" s="143"/>
      <c r="AL92" s="143"/>
      <c r="AM92" s="143"/>
      <c r="AN92" s="143"/>
      <c r="AO92" s="143"/>
      <c r="AP92" s="143"/>
      <c r="AQ92" s="143" t="s">
        <v>529</v>
      </c>
      <c r="AR92" s="143" t="s">
        <v>39</v>
      </c>
      <c r="AS92" s="143"/>
      <c r="AT92" s="143"/>
      <c r="AU92" s="143"/>
      <c r="AV92" s="143" t="s">
        <v>421</v>
      </c>
      <c r="AW92" s="148"/>
      <c r="AX92" s="148"/>
      <c r="AY92" s="143"/>
      <c r="AZ92" s="143"/>
      <c r="BA92" s="143"/>
      <c r="BB92" s="143" t="s">
        <v>422</v>
      </c>
      <c r="BC92" s="142">
        <v>0</v>
      </c>
      <c r="BD92" s="142">
        <v>0</v>
      </c>
      <c r="BE92" s="142">
        <v>0.48399999999999999</v>
      </c>
      <c r="BF92" s="142">
        <v>9.9990000000000006</v>
      </c>
      <c r="BG92" s="142">
        <v>0.50600000000000001</v>
      </c>
      <c r="BH92" s="142">
        <v>20.643000000000001</v>
      </c>
      <c r="BI92" s="142">
        <v>0.75700000000000001</v>
      </c>
      <c r="BJ92" s="142">
        <v>0</v>
      </c>
      <c r="BK92" s="142">
        <v>0.44900000000000001</v>
      </c>
      <c r="BL92" s="142">
        <v>0</v>
      </c>
      <c r="BM92" s="142">
        <v>0</v>
      </c>
      <c r="BN92" s="142">
        <v>8.2000000000000003E-2</v>
      </c>
      <c r="BO92" s="142">
        <v>0</v>
      </c>
      <c r="BP92" s="142">
        <v>0</v>
      </c>
      <c r="BQ92" s="142">
        <v>0.90400000000000003</v>
      </c>
      <c r="BR92" s="142">
        <v>0.44900000000000001</v>
      </c>
      <c r="BS92" s="142">
        <v>0.45500000000000002</v>
      </c>
      <c r="BT92" s="142">
        <v>2</v>
      </c>
      <c r="BU92" s="142">
        <v>24.3</v>
      </c>
      <c r="BV92" s="142">
        <v>74.400000000000006</v>
      </c>
      <c r="BW92" s="143" t="s">
        <v>419</v>
      </c>
    </row>
    <row r="93" spans="5:75">
      <c r="E93" s="143" t="s">
        <v>344</v>
      </c>
      <c r="F93" s="153" t="s">
        <v>423</v>
      </c>
      <c r="G93" s="143" t="s">
        <v>525</v>
      </c>
      <c r="H93" s="153" t="s">
        <v>526</v>
      </c>
      <c r="I93" s="144" t="s">
        <v>527</v>
      </c>
      <c r="J93" s="144" t="s">
        <v>597</v>
      </c>
      <c r="K93" s="144"/>
      <c r="L93" s="144"/>
      <c r="M93" s="147">
        <v>93754</v>
      </c>
      <c r="N93" s="146">
        <v>17200</v>
      </c>
      <c r="O93" s="142" t="s">
        <v>598</v>
      </c>
      <c r="P93" s="143" t="s">
        <v>37</v>
      </c>
      <c r="Q93" s="143" t="s">
        <v>428</v>
      </c>
      <c r="R93" s="147">
        <v>86000</v>
      </c>
      <c r="S93" s="146">
        <v>27305</v>
      </c>
      <c r="T93" s="148">
        <v>40087</v>
      </c>
      <c r="U93" s="149"/>
      <c r="V93" s="150">
        <v>10</v>
      </c>
      <c r="W93" s="143"/>
      <c r="X93" s="143"/>
      <c r="Y93" s="143" t="s">
        <v>527</v>
      </c>
      <c r="Z93" s="143"/>
      <c r="AA93" s="143"/>
      <c r="AB93" s="143"/>
      <c r="AC93" s="143"/>
      <c r="AD93" s="143" t="s">
        <v>597</v>
      </c>
      <c r="AE93" s="143"/>
      <c r="AF93" s="143" t="s">
        <v>416</v>
      </c>
      <c r="AG93" s="143"/>
      <c r="AH93" s="143"/>
      <c r="AI93" s="143"/>
      <c r="AJ93" s="143"/>
      <c r="AK93" s="143"/>
      <c r="AL93" s="143"/>
      <c r="AM93" s="143"/>
      <c r="AN93" s="143"/>
      <c r="AO93" s="143"/>
      <c r="AP93" s="143"/>
      <c r="AQ93" s="143" t="s">
        <v>529</v>
      </c>
      <c r="AR93" s="143" t="s">
        <v>39</v>
      </c>
      <c r="AS93" s="143"/>
      <c r="AT93" s="143"/>
      <c r="AU93" s="143"/>
      <c r="AV93" s="143" t="s">
        <v>421</v>
      </c>
      <c r="AW93" s="148"/>
      <c r="AX93" s="148"/>
      <c r="AY93" s="143"/>
      <c r="AZ93" s="143"/>
      <c r="BA93" s="143"/>
      <c r="BB93" s="143" t="s">
        <v>422</v>
      </c>
      <c r="BC93" s="142">
        <v>0</v>
      </c>
      <c r="BD93" s="142">
        <v>0</v>
      </c>
      <c r="BE93" s="142">
        <v>0.48399999999999999</v>
      </c>
      <c r="BF93" s="142">
        <v>10.237</v>
      </c>
      <c r="BG93" s="142">
        <v>0.50600000000000001</v>
      </c>
      <c r="BH93" s="142">
        <v>21.135000000000002</v>
      </c>
      <c r="BI93" s="142">
        <v>0.75700000000000001</v>
      </c>
      <c r="BJ93" s="142">
        <v>0</v>
      </c>
      <c r="BK93" s="142">
        <v>0.44900000000000001</v>
      </c>
      <c r="BL93" s="142">
        <v>0</v>
      </c>
      <c r="BM93" s="142">
        <v>0</v>
      </c>
      <c r="BN93" s="142">
        <v>8.2000000000000003E-2</v>
      </c>
      <c r="BO93" s="142">
        <v>0</v>
      </c>
      <c r="BP93" s="142">
        <v>0</v>
      </c>
      <c r="BQ93" s="142">
        <v>0.90400000000000003</v>
      </c>
      <c r="BR93" s="142">
        <v>0.44900000000000001</v>
      </c>
      <c r="BS93" s="142">
        <v>0.45500000000000002</v>
      </c>
      <c r="BT93" s="142">
        <v>2</v>
      </c>
      <c r="BU93" s="142">
        <v>24.3</v>
      </c>
      <c r="BV93" s="142">
        <v>76.2</v>
      </c>
      <c r="BW93" s="143" t="s">
        <v>419</v>
      </c>
    </row>
    <row r="94" spans="5:75">
      <c r="E94" s="143" t="s">
        <v>344</v>
      </c>
      <c r="F94" s="153" t="s">
        <v>423</v>
      </c>
      <c r="G94" s="143" t="s">
        <v>525</v>
      </c>
      <c r="H94" s="153" t="s">
        <v>526</v>
      </c>
      <c r="I94" s="144" t="s">
        <v>527</v>
      </c>
      <c r="J94" s="144" t="s">
        <v>599</v>
      </c>
      <c r="K94" s="144"/>
      <c r="L94" s="144"/>
      <c r="M94" s="147">
        <v>95935</v>
      </c>
      <c r="N94" s="146">
        <v>17600</v>
      </c>
      <c r="O94" s="142" t="s">
        <v>600</v>
      </c>
      <c r="P94" s="143" t="s">
        <v>37</v>
      </c>
      <c r="Q94" s="143" t="s">
        <v>428</v>
      </c>
      <c r="R94" s="147">
        <v>88000</v>
      </c>
      <c r="S94" s="146">
        <v>27940</v>
      </c>
      <c r="T94" s="148">
        <v>40087</v>
      </c>
      <c r="U94" s="149"/>
      <c r="V94" s="150">
        <v>10</v>
      </c>
      <c r="W94" s="143"/>
      <c r="X94" s="143"/>
      <c r="Y94" s="143" t="s">
        <v>527</v>
      </c>
      <c r="Z94" s="143"/>
      <c r="AA94" s="143"/>
      <c r="AB94" s="143"/>
      <c r="AC94" s="143"/>
      <c r="AD94" s="143" t="s">
        <v>599</v>
      </c>
      <c r="AE94" s="143"/>
      <c r="AF94" s="143" t="s">
        <v>416</v>
      </c>
      <c r="AG94" s="143"/>
      <c r="AH94" s="143"/>
      <c r="AI94" s="143"/>
      <c r="AJ94" s="143"/>
      <c r="AK94" s="143"/>
      <c r="AL94" s="143"/>
      <c r="AM94" s="143"/>
      <c r="AN94" s="143"/>
      <c r="AO94" s="143"/>
      <c r="AP94" s="143"/>
      <c r="AQ94" s="143" t="s">
        <v>529</v>
      </c>
      <c r="AR94" s="143" t="s">
        <v>39</v>
      </c>
      <c r="AS94" s="143"/>
      <c r="AT94" s="143"/>
      <c r="AU94" s="143"/>
      <c r="AV94" s="143" t="s">
        <v>421</v>
      </c>
      <c r="AW94" s="148"/>
      <c r="AX94" s="148"/>
      <c r="AY94" s="143"/>
      <c r="AZ94" s="143"/>
      <c r="BA94" s="143"/>
      <c r="BB94" s="143" t="s">
        <v>422</v>
      </c>
      <c r="BC94" s="142">
        <v>0</v>
      </c>
      <c r="BD94" s="142">
        <v>0</v>
      </c>
      <c r="BE94" s="142">
        <v>0.48399999999999999</v>
      </c>
      <c r="BF94" s="142">
        <v>10.475</v>
      </c>
      <c r="BG94" s="142">
        <v>0.50600000000000001</v>
      </c>
      <c r="BH94" s="142">
        <v>21.626000000000001</v>
      </c>
      <c r="BI94" s="142">
        <v>0.75700000000000001</v>
      </c>
      <c r="BJ94" s="142">
        <v>0</v>
      </c>
      <c r="BK94" s="142">
        <v>0.44900000000000001</v>
      </c>
      <c r="BL94" s="142">
        <v>0</v>
      </c>
      <c r="BM94" s="142">
        <v>0</v>
      </c>
      <c r="BN94" s="142">
        <v>8.2000000000000003E-2</v>
      </c>
      <c r="BO94" s="142">
        <v>0</v>
      </c>
      <c r="BP94" s="142">
        <v>0</v>
      </c>
      <c r="BQ94" s="142">
        <v>0.90400000000000003</v>
      </c>
      <c r="BR94" s="142">
        <v>0.44900000000000001</v>
      </c>
      <c r="BS94" s="142">
        <v>0.45500000000000002</v>
      </c>
      <c r="BT94" s="142">
        <v>2</v>
      </c>
      <c r="BU94" s="142">
        <v>24.3</v>
      </c>
      <c r="BV94" s="142">
        <v>77.900000000000006</v>
      </c>
      <c r="BW94" s="143" t="s">
        <v>419</v>
      </c>
    </row>
    <row r="95" spans="5:75">
      <c r="E95" s="143" t="s">
        <v>344</v>
      </c>
      <c r="F95" s="153" t="s">
        <v>423</v>
      </c>
      <c r="G95" s="143" t="s">
        <v>525</v>
      </c>
      <c r="H95" s="153" t="s">
        <v>526</v>
      </c>
      <c r="I95" s="144" t="s">
        <v>527</v>
      </c>
      <c r="J95" s="144" t="s">
        <v>601</v>
      </c>
      <c r="K95" s="144"/>
      <c r="L95" s="144"/>
      <c r="M95" s="147">
        <v>98115</v>
      </c>
      <c r="N95" s="146">
        <v>18000</v>
      </c>
      <c r="O95" s="142" t="s">
        <v>602</v>
      </c>
      <c r="P95" s="143" t="s">
        <v>37</v>
      </c>
      <c r="Q95" s="143" t="s">
        <v>428</v>
      </c>
      <c r="R95" s="147">
        <v>90000</v>
      </c>
      <c r="S95" s="146">
        <v>28575</v>
      </c>
      <c r="T95" s="148">
        <v>40087</v>
      </c>
      <c r="U95" s="149"/>
      <c r="V95" s="150">
        <v>10</v>
      </c>
      <c r="W95" s="143"/>
      <c r="X95" s="143"/>
      <c r="Y95" s="143" t="s">
        <v>527</v>
      </c>
      <c r="Z95" s="143"/>
      <c r="AA95" s="143"/>
      <c r="AB95" s="143"/>
      <c r="AC95" s="143"/>
      <c r="AD95" s="143" t="s">
        <v>601</v>
      </c>
      <c r="AE95" s="143"/>
      <c r="AF95" s="143" t="s">
        <v>416</v>
      </c>
      <c r="AG95" s="143"/>
      <c r="AH95" s="143"/>
      <c r="AI95" s="143"/>
      <c r="AJ95" s="143"/>
      <c r="AK95" s="143"/>
      <c r="AL95" s="143"/>
      <c r="AM95" s="143"/>
      <c r="AN95" s="143"/>
      <c r="AO95" s="143"/>
      <c r="AP95" s="143"/>
      <c r="AQ95" s="143" t="s">
        <v>529</v>
      </c>
      <c r="AR95" s="143" t="s">
        <v>39</v>
      </c>
      <c r="AS95" s="143"/>
      <c r="AT95" s="143"/>
      <c r="AU95" s="143"/>
      <c r="AV95" s="143" t="s">
        <v>421</v>
      </c>
      <c r="AW95" s="148"/>
      <c r="AX95" s="148"/>
      <c r="AY95" s="143"/>
      <c r="AZ95" s="143"/>
      <c r="BA95" s="143"/>
      <c r="BB95" s="143" t="s">
        <v>422</v>
      </c>
      <c r="BC95" s="142">
        <v>0</v>
      </c>
      <c r="BD95" s="142">
        <v>0</v>
      </c>
      <c r="BE95" s="142">
        <v>0.48399999999999999</v>
      </c>
      <c r="BF95" s="142">
        <v>10.712999999999999</v>
      </c>
      <c r="BG95" s="142">
        <v>0.50600000000000001</v>
      </c>
      <c r="BH95" s="142">
        <v>22.117999999999999</v>
      </c>
      <c r="BI95" s="142">
        <v>0.75700000000000001</v>
      </c>
      <c r="BJ95" s="142">
        <v>0</v>
      </c>
      <c r="BK95" s="142">
        <v>0.44900000000000001</v>
      </c>
      <c r="BL95" s="142">
        <v>0</v>
      </c>
      <c r="BM95" s="142">
        <v>0</v>
      </c>
      <c r="BN95" s="142">
        <v>8.2000000000000003E-2</v>
      </c>
      <c r="BO95" s="142">
        <v>0</v>
      </c>
      <c r="BP95" s="142">
        <v>0</v>
      </c>
      <c r="BQ95" s="142">
        <v>0.90400000000000003</v>
      </c>
      <c r="BR95" s="142">
        <v>0.44900000000000001</v>
      </c>
      <c r="BS95" s="142">
        <v>0.45500000000000002</v>
      </c>
      <c r="BT95" s="142">
        <v>2</v>
      </c>
      <c r="BU95" s="142">
        <v>24.3</v>
      </c>
      <c r="BV95" s="142">
        <v>79.7</v>
      </c>
      <c r="BW95" s="143" t="s">
        <v>419</v>
      </c>
    </row>
    <row r="96" spans="5:75">
      <c r="E96" s="143" t="s">
        <v>344</v>
      </c>
      <c r="F96" s="153" t="s">
        <v>423</v>
      </c>
      <c r="G96" s="143" t="s">
        <v>525</v>
      </c>
      <c r="H96" s="153" t="s">
        <v>526</v>
      </c>
      <c r="I96" s="144" t="s">
        <v>527</v>
      </c>
      <c r="J96" s="144" t="s">
        <v>603</v>
      </c>
      <c r="K96" s="144"/>
      <c r="L96" s="144"/>
      <c r="M96" s="147">
        <v>100295</v>
      </c>
      <c r="N96" s="146">
        <v>18400</v>
      </c>
      <c r="O96" s="142" t="s">
        <v>604</v>
      </c>
      <c r="P96" s="143" t="s">
        <v>37</v>
      </c>
      <c r="Q96" s="143" t="s">
        <v>428</v>
      </c>
      <c r="R96" s="147">
        <v>92000</v>
      </c>
      <c r="S96" s="146">
        <v>29210</v>
      </c>
      <c r="T96" s="148">
        <v>40087</v>
      </c>
      <c r="U96" s="149"/>
      <c r="V96" s="150">
        <v>10</v>
      </c>
      <c r="W96" s="143"/>
      <c r="X96" s="143"/>
      <c r="Y96" s="143" t="s">
        <v>527</v>
      </c>
      <c r="Z96" s="143"/>
      <c r="AA96" s="143"/>
      <c r="AB96" s="143"/>
      <c r="AC96" s="143"/>
      <c r="AD96" s="143" t="s">
        <v>603</v>
      </c>
      <c r="AE96" s="143"/>
      <c r="AF96" s="143" t="s">
        <v>416</v>
      </c>
      <c r="AG96" s="143"/>
      <c r="AH96" s="143"/>
      <c r="AI96" s="143"/>
      <c r="AJ96" s="143"/>
      <c r="AK96" s="143"/>
      <c r="AL96" s="143"/>
      <c r="AM96" s="143"/>
      <c r="AN96" s="143"/>
      <c r="AO96" s="143"/>
      <c r="AP96" s="143"/>
      <c r="AQ96" s="143" t="s">
        <v>529</v>
      </c>
      <c r="AR96" s="143" t="s">
        <v>39</v>
      </c>
      <c r="AS96" s="143"/>
      <c r="AT96" s="143"/>
      <c r="AU96" s="143"/>
      <c r="AV96" s="143" t="s">
        <v>421</v>
      </c>
      <c r="AW96" s="148"/>
      <c r="AX96" s="148"/>
      <c r="AY96" s="143"/>
      <c r="AZ96" s="143"/>
      <c r="BA96" s="143"/>
      <c r="BB96" s="143" t="s">
        <v>422</v>
      </c>
      <c r="BC96" s="142">
        <v>0</v>
      </c>
      <c r="BD96" s="142">
        <v>0</v>
      </c>
      <c r="BE96" s="142">
        <v>0.48399999999999999</v>
      </c>
      <c r="BF96" s="142">
        <v>10.951000000000001</v>
      </c>
      <c r="BG96" s="142">
        <v>0.50600000000000001</v>
      </c>
      <c r="BH96" s="142">
        <v>22.609000000000002</v>
      </c>
      <c r="BI96" s="142">
        <v>0.75700000000000001</v>
      </c>
      <c r="BJ96" s="142">
        <v>0</v>
      </c>
      <c r="BK96" s="142">
        <v>0.44900000000000001</v>
      </c>
      <c r="BL96" s="142">
        <v>0</v>
      </c>
      <c r="BM96" s="142">
        <v>0</v>
      </c>
      <c r="BN96" s="142">
        <v>8.2000000000000003E-2</v>
      </c>
      <c r="BO96" s="142">
        <v>0</v>
      </c>
      <c r="BP96" s="142">
        <v>0</v>
      </c>
      <c r="BQ96" s="142">
        <v>0.90400000000000003</v>
      </c>
      <c r="BR96" s="142">
        <v>0.44900000000000001</v>
      </c>
      <c r="BS96" s="142">
        <v>0.45500000000000002</v>
      </c>
      <c r="BT96" s="142">
        <v>2</v>
      </c>
      <c r="BU96" s="142">
        <v>24.3</v>
      </c>
      <c r="BV96" s="142">
        <v>81.5</v>
      </c>
      <c r="BW96" s="143" t="s">
        <v>419</v>
      </c>
    </row>
    <row r="97" spans="5:75">
      <c r="E97" s="143" t="s">
        <v>344</v>
      </c>
      <c r="F97" s="153" t="s">
        <v>423</v>
      </c>
      <c r="G97" s="143" t="s">
        <v>525</v>
      </c>
      <c r="H97" s="153" t="s">
        <v>526</v>
      </c>
      <c r="I97" s="144" t="s">
        <v>527</v>
      </c>
      <c r="J97" s="144" t="s">
        <v>605</v>
      </c>
      <c r="K97" s="144"/>
      <c r="L97" s="144"/>
      <c r="M97" s="147">
        <v>102476</v>
      </c>
      <c r="N97" s="146">
        <v>18800</v>
      </c>
      <c r="O97" s="142" t="s">
        <v>606</v>
      </c>
      <c r="P97" s="143" t="s">
        <v>37</v>
      </c>
      <c r="Q97" s="143" t="s">
        <v>428</v>
      </c>
      <c r="R97" s="147">
        <v>94000</v>
      </c>
      <c r="S97" s="146">
        <v>29845</v>
      </c>
      <c r="T97" s="148">
        <v>40087</v>
      </c>
      <c r="U97" s="149"/>
      <c r="V97" s="150">
        <v>10</v>
      </c>
      <c r="W97" s="143"/>
      <c r="X97" s="143"/>
      <c r="Y97" s="143" t="s">
        <v>527</v>
      </c>
      <c r="Z97" s="143"/>
      <c r="AA97" s="143"/>
      <c r="AB97" s="143"/>
      <c r="AC97" s="143"/>
      <c r="AD97" s="143" t="s">
        <v>605</v>
      </c>
      <c r="AE97" s="143"/>
      <c r="AF97" s="143" t="s">
        <v>416</v>
      </c>
      <c r="AG97" s="143"/>
      <c r="AH97" s="143"/>
      <c r="AI97" s="143"/>
      <c r="AJ97" s="143"/>
      <c r="AK97" s="143"/>
      <c r="AL97" s="143"/>
      <c r="AM97" s="143"/>
      <c r="AN97" s="143"/>
      <c r="AO97" s="143"/>
      <c r="AP97" s="143"/>
      <c r="AQ97" s="143" t="s">
        <v>529</v>
      </c>
      <c r="AR97" s="143" t="s">
        <v>39</v>
      </c>
      <c r="AS97" s="143"/>
      <c r="AT97" s="143"/>
      <c r="AU97" s="143"/>
      <c r="AV97" s="143" t="s">
        <v>421</v>
      </c>
      <c r="AW97" s="148"/>
      <c r="AX97" s="148"/>
      <c r="AY97" s="143"/>
      <c r="AZ97" s="143"/>
      <c r="BA97" s="143"/>
      <c r="BB97" s="143" t="s">
        <v>422</v>
      </c>
      <c r="BC97" s="142">
        <v>0</v>
      </c>
      <c r="BD97" s="142">
        <v>0</v>
      </c>
      <c r="BE97" s="142">
        <v>0.48399999999999999</v>
      </c>
      <c r="BF97" s="142">
        <v>11.19</v>
      </c>
      <c r="BG97" s="142">
        <v>0.50600000000000001</v>
      </c>
      <c r="BH97" s="142">
        <v>23.100999999999999</v>
      </c>
      <c r="BI97" s="142">
        <v>0.75700000000000001</v>
      </c>
      <c r="BJ97" s="142">
        <v>0</v>
      </c>
      <c r="BK97" s="142">
        <v>0.44900000000000001</v>
      </c>
      <c r="BL97" s="142">
        <v>0</v>
      </c>
      <c r="BM97" s="142">
        <v>0</v>
      </c>
      <c r="BN97" s="142">
        <v>8.2000000000000003E-2</v>
      </c>
      <c r="BO97" s="142">
        <v>0</v>
      </c>
      <c r="BP97" s="142">
        <v>0</v>
      </c>
      <c r="BQ97" s="142">
        <v>0.90400000000000003</v>
      </c>
      <c r="BR97" s="142">
        <v>0.44900000000000001</v>
      </c>
      <c r="BS97" s="142">
        <v>0.45500000000000002</v>
      </c>
      <c r="BT97" s="142">
        <v>2</v>
      </c>
      <c r="BU97" s="142">
        <v>24.3</v>
      </c>
      <c r="BV97" s="142">
        <v>83.3</v>
      </c>
      <c r="BW97" s="143" t="s">
        <v>419</v>
      </c>
    </row>
    <row r="98" spans="5:75">
      <c r="E98" s="143" t="s">
        <v>344</v>
      </c>
      <c r="F98" s="153" t="s">
        <v>423</v>
      </c>
      <c r="G98" s="143" t="s">
        <v>525</v>
      </c>
      <c r="H98" s="153" t="s">
        <v>526</v>
      </c>
      <c r="I98" s="144" t="s">
        <v>527</v>
      </c>
      <c r="J98" s="144" t="s">
        <v>607</v>
      </c>
      <c r="K98" s="144"/>
      <c r="L98" s="144"/>
      <c r="M98" s="147">
        <v>104656</v>
      </c>
      <c r="N98" s="146">
        <v>19200</v>
      </c>
      <c r="O98" s="142" t="s">
        <v>608</v>
      </c>
      <c r="P98" s="143" t="s">
        <v>37</v>
      </c>
      <c r="Q98" s="143" t="s">
        <v>428</v>
      </c>
      <c r="R98" s="147">
        <v>96000</v>
      </c>
      <c r="S98" s="146">
        <v>30480</v>
      </c>
      <c r="T98" s="148">
        <v>40087</v>
      </c>
      <c r="U98" s="149"/>
      <c r="V98" s="150">
        <v>10</v>
      </c>
      <c r="W98" s="143"/>
      <c r="X98" s="143"/>
      <c r="Y98" s="143" t="s">
        <v>527</v>
      </c>
      <c r="Z98" s="143"/>
      <c r="AA98" s="143"/>
      <c r="AB98" s="143"/>
      <c r="AC98" s="143"/>
      <c r="AD98" s="143" t="s">
        <v>607</v>
      </c>
      <c r="AE98" s="143"/>
      <c r="AF98" s="143" t="s">
        <v>416</v>
      </c>
      <c r="AG98" s="143"/>
      <c r="AH98" s="143"/>
      <c r="AI98" s="143"/>
      <c r="AJ98" s="143"/>
      <c r="AK98" s="143"/>
      <c r="AL98" s="143"/>
      <c r="AM98" s="143"/>
      <c r="AN98" s="143"/>
      <c r="AO98" s="143"/>
      <c r="AP98" s="143"/>
      <c r="AQ98" s="143" t="s">
        <v>529</v>
      </c>
      <c r="AR98" s="143" t="s">
        <v>39</v>
      </c>
      <c r="AS98" s="143"/>
      <c r="AT98" s="143"/>
      <c r="AU98" s="143"/>
      <c r="AV98" s="143" t="s">
        <v>421</v>
      </c>
      <c r="AW98" s="148"/>
      <c r="AX98" s="148"/>
      <c r="AY98" s="143"/>
      <c r="AZ98" s="143"/>
      <c r="BA98" s="143"/>
      <c r="BB98" s="143" t="s">
        <v>422</v>
      </c>
      <c r="BC98" s="142">
        <v>0</v>
      </c>
      <c r="BD98" s="142">
        <v>0</v>
      </c>
      <c r="BE98" s="142">
        <v>0.48399999999999999</v>
      </c>
      <c r="BF98" s="142">
        <v>11.428000000000001</v>
      </c>
      <c r="BG98" s="142">
        <v>0.50600000000000001</v>
      </c>
      <c r="BH98" s="142">
        <v>23.591999999999999</v>
      </c>
      <c r="BI98" s="142">
        <v>0.75700000000000001</v>
      </c>
      <c r="BJ98" s="142">
        <v>0</v>
      </c>
      <c r="BK98" s="142">
        <v>0.44900000000000001</v>
      </c>
      <c r="BL98" s="142">
        <v>0</v>
      </c>
      <c r="BM98" s="142">
        <v>0</v>
      </c>
      <c r="BN98" s="142">
        <v>8.2000000000000003E-2</v>
      </c>
      <c r="BO98" s="142">
        <v>0</v>
      </c>
      <c r="BP98" s="142">
        <v>0</v>
      </c>
      <c r="BQ98" s="142">
        <v>0.90400000000000003</v>
      </c>
      <c r="BR98" s="142">
        <v>0.44900000000000001</v>
      </c>
      <c r="BS98" s="142">
        <v>0.45500000000000002</v>
      </c>
      <c r="BT98" s="142">
        <v>2</v>
      </c>
      <c r="BU98" s="142">
        <v>24.3</v>
      </c>
      <c r="BV98" s="142">
        <v>85</v>
      </c>
      <c r="BW98" s="143" t="s">
        <v>419</v>
      </c>
    </row>
    <row r="99" spans="5:75">
      <c r="E99" s="143" t="s">
        <v>344</v>
      </c>
      <c r="F99" s="153" t="s">
        <v>423</v>
      </c>
      <c r="G99" s="143" t="s">
        <v>525</v>
      </c>
      <c r="H99" s="153" t="s">
        <v>526</v>
      </c>
      <c r="I99" s="144" t="s">
        <v>527</v>
      </c>
      <c r="J99" s="144" t="s">
        <v>609</v>
      </c>
      <c r="K99" s="144"/>
      <c r="L99" s="144"/>
      <c r="M99" s="147">
        <v>106836</v>
      </c>
      <c r="N99" s="146">
        <v>19600</v>
      </c>
      <c r="O99" s="142" t="s">
        <v>610</v>
      </c>
      <c r="P99" s="143" t="s">
        <v>37</v>
      </c>
      <c r="Q99" s="143" t="s">
        <v>428</v>
      </c>
      <c r="R99" s="147">
        <v>98000</v>
      </c>
      <c r="S99" s="146">
        <v>31115</v>
      </c>
      <c r="T99" s="148">
        <v>40087</v>
      </c>
      <c r="U99" s="149"/>
      <c r="V99" s="150">
        <v>10</v>
      </c>
      <c r="W99" s="143"/>
      <c r="X99" s="143"/>
      <c r="Y99" s="143" t="s">
        <v>527</v>
      </c>
      <c r="Z99" s="143"/>
      <c r="AA99" s="143"/>
      <c r="AB99" s="143"/>
      <c r="AC99" s="143"/>
      <c r="AD99" s="143" t="s">
        <v>609</v>
      </c>
      <c r="AE99" s="143"/>
      <c r="AF99" s="143" t="s">
        <v>416</v>
      </c>
      <c r="AG99" s="143"/>
      <c r="AH99" s="143"/>
      <c r="AI99" s="143"/>
      <c r="AJ99" s="143"/>
      <c r="AK99" s="143"/>
      <c r="AL99" s="143"/>
      <c r="AM99" s="143"/>
      <c r="AN99" s="143"/>
      <c r="AO99" s="143"/>
      <c r="AP99" s="143"/>
      <c r="AQ99" s="143" t="s">
        <v>529</v>
      </c>
      <c r="AR99" s="143" t="s">
        <v>39</v>
      </c>
      <c r="AS99" s="143"/>
      <c r="AT99" s="143"/>
      <c r="AU99" s="143"/>
      <c r="AV99" s="143" t="s">
        <v>421</v>
      </c>
      <c r="AW99" s="148"/>
      <c r="AX99" s="148"/>
      <c r="AY99" s="143"/>
      <c r="AZ99" s="143"/>
      <c r="BA99" s="143"/>
      <c r="BB99" s="143" t="s">
        <v>422</v>
      </c>
      <c r="BC99" s="142">
        <v>0</v>
      </c>
      <c r="BD99" s="142">
        <v>0</v>
      </c>
      <c r="BE99" s="142">
        <v>0.48399999999999999</v>
      </c>
      <c r="BF99" s="142">
        <v>11.666</v>
      </c>
      <c r="BG99" s="142">
        <v>0.50600000000000001</v>
      </c>
      <c r="BH99" s="142">
        <v>24.084</v>
      </c>
      <c r="BI99" s="142">
        <v>0.75700000000000001</v>
      </c>
      <c r="BJ99" s="142">
        <v>0</v>
      </c>
      <c r="BK99" s="142">
        <v>0.44900000000000001</v>
      </c>
      <c r="BL99" s="142">
        <v>0</v>
      </c>
      <c r="BM99" s="142">
        <v>0</v>
      </c>
      <c r="BN99" s="142">
        <v>8.2000000000000003E-2</v>
      </c>
      <c r="BO99" s="142">
        <v>0</v>
      </c>
      <c r="BP99" s="142">
        <v>0</v>
      </c>
      <c r="BQ99" s="142">
        <v>0.90400000000000003</v>
      </c>
      <c r="BR99" s="142">
        <v>0.44900000000000001</v>
      </c>
      <c r="BS99" s="142">
        <v>0.45500000000000002</v>
      </c>
      <c r="BT99" s="142">
        <v>2</v>
      </c>
      <c r="BU99" s="142">
        <v>24.3</v>
      </c>
      <c r="BV99" s="142">
        <v>86.8</v>
      </c>
      <c r="BW99" s="143" t="s">
        <v>419</v>
      </c>
    </row>
    <row r="100" spans="5:75">
      <c r="E100" s="143" t="s">
        <v>344</v>
      </c>
      <c r="F100" s="153" t="s">
        <v>423</v>
      </c>
      <c r="G100" s="143" t="s">
        <v>525</v>
      </c>
      <c r="H100" s="153" t="s">
        <v>526</v>
      </c>
      <c r="I100" s="144" t="s">
        <v>527</v>
      </c>
      <c r="J100" s="144" t="s">
        <v>456</v>
      </c>
      <c r="K100" s="144"/>
      <c r="L100" s="144"/>
      <c r="M100" s="147">
        <v>109017</v>
      </c>
      <c r="N100" s="146">
        <v>20000</v>
      </c>
      <c r="O100" s="142" t="s">
        <v>611</v>
      </c>
      <c r="P100" s="143" t="s">
        <v>37</v>
      </c>
      <c r="Q100" s="143" t="s">
        <v>428</v>
      </c>
      <c r="R100" s="147">
        <v>100000</v>
      </c>
      <c r="S100" s="146">
        <v>31750</v>
      </c>
      <c r="T100" s="148">
        <v>40087</v>
      </c>
      <c r="U100" s="149"/>
      <c r="V100" s="150">
        <v>10</v>
      </c>
      <c r="W100" s="143"/>
      <c r="X100" s="143"/>
      <c r="Y100" s="143" t="s">
        <v>527</v>
      </c>
      <c r="Z100" s="143"/>
      <c r="AA100" s="143"/>
      <c r="AB100" s="143"/>
      <c r="AC100" s="143"/>
      <c r="AD100" s="143" t="s">
        <v>456</v>
      </c>
      <c r="AE100" s="143"/>
      <c r="AF100" s="143" t="s">
        <v>416</v>
      </c>
      <c r="AG100" s="143"/>
      <c r="AH100" s="143"/>
      <c r="AI100" s="143"/>
      <c r="AJ100" s="143"/>
      <c r="AK100" s="143"/>
      <c r="AL100" s="143"/>
      <c r="AM100" s="143"/>
      <c r="AN100" s="143"/>
      <c r="AO100" s="143"/>
      <c r="AP100" s="143"/>
      <c r="AQ100" s="143" t="s">
        <v>529</v>
      </c>
      <c r="AR100" s="143" t="s">
        <v>39</v>
      </c>
      <c r="AS100" s="143"/>
      <c r="AT100" s="143"/>
      <c r="AU100" s="143"/>
      <c r="AV100" s="143" t="s">
        <v>421</v>
      </c>
      <c r="AW100" s="148"/>
      <c r="AX100" s="148"/>
      <c r="AY100" s="143"/>
      <c r="AZ100" s="143"/>
      <c r="BA100" s="143"/>
      <c r="BB100" s="143" t="s">
        <v>422</v>
      </c>
      <c r="BC100" s="142">
        <v>0</v>
      </c>
      <c r="BD100" s="142">
        <v>0</v>
      </c>
      <c r="BE100" s="142">
        <v>0.48399999999999999</v>
      </c>
      <c r="BF100" s="142">
        <v>11.904</v>
      </c>
      <c r="BG100" s="142">
        <v>0.50600000000000001</v>
      </c>
      <c r="BH100" s="142">
        <v>24.574999999999999</v>
      </c>
      <c r="BI100" s="142">
        <v>0.75700000000000001</v>
      </c>
      <c r="BJ100" s="142">
        <v>0</v>
      </c>
      <c r="BK100" s="142">
        <v>0.44900000000000001</v>
      </c>
      <c r="BL100" s="142">
        <v>0</v>
      </c>
      <c r="BM100" s="142">
        <v>0</v>
      </c>
      <c r="BN100" s="142">
        <v>8.2000000000000003E-2</v>
      </c>
      <c r="BO100" s="142">
        <v>0</v>
      </c>
      <c r="BP100" s="142">
        <v>0</v>
      </c>
      <c r="BQ100" s="142">
        <v>0.90400000000000003</v>
      </c>
      <c r="BR100" s="142">
        <v>0.44900000000000001</v>
      </c>
      <c r="BS100" s="142">
        <v>0.45500000000000002</v>
      </c>
      <c r="BT100" s="142">
        <v>2</v>
      </c>
      <c r="BU100" s="142">
        <v>24.3</v>
      </c>
      <c r="BV100" s="142">
        <v>88.6</v>
      </c>
      <c r="BW100" s="143" t="s">
        <v>419</v>
      </c>
    </row>
    <row r="101" spans="5:75">
      <c r="E101" s="143" t="s">
        <v>344</v>
      </c>
      <c r="F101" s="153" t="s">
        <v>423</v>
      </c>
      <c r="G101" s="143" t="s">
        <v>525</v>
      </c>
      <c r="H101" s="153" t="s">
        <v>526</v>
      </c>
      <c r="I101" s="144" t="s">
        <v>527</v>
      </c>
      <c r="J101" s="144" t="s">
        <v>458</v>
      </c>
      <c r="K101" s="144"/>
      <c r="L101" s="144"/>
      <c r="M101" s="147">
        <v>130820</v>
      </c>
      <c r="N101" s="146">
        <v>24000</v>
      </c>
      <c r="O101" s="142" t="s">
        <v>612</v>
      </c>
      <c r="P101" s="143" t="s">
        <v>37</v>
      </c>
      <c r="Q101" s="143" t="s">
        <v>428</v>
      </c>
      <c r="R101" s="147">
        <v>120000</v>
      </c>
      <c r="S101" s="146">
        <v>38100</v>
      </c>
      <c r="T101" s="148">
        <v>40087</v>
      </c>
      <c r="U101" s="149"/>
      <c r="V101" s="150">
        <v>10</v>
      </c>
      <c r="W101" s="143"/>
      <c r="X101" s="143"/>
      <c r="Y101" s="143" t="s">
        <v>527</v>
      </c>
      <c r="Z101" s="143"/>
      <c r="AA101" s="143"/>
      <c r="AB101" s="143"/>
      <c r="AC101" s="143"/>
      <c r="AD101" s="143" t="s">
        <v>458</v>
      </c>
      <c r="AE101" s="143"/>
      <c r="AF101" s="143" t="s">
        <v>416</v>
      </c>
      <c r="AG101" s="143"/>
      <c r="AH101" s="143"/>
      <c r="AI101" s="143"/>
      <c r="AJ101" s="143"/>
      <c r="AK101" s="143"/>
      <c r="AL101" s="143"/>
      <c r="AM101" s="143"/>
      <c r="AN101" s="143"/>
      <c r="AO101" s="143"/>
      <c r="AP101" s="143"/>
      <c r="AQ101" s="143" t="s">
        <v>529</v>
      </c>
      <c r="AR101" s="143" t="s">
        <v>39</v>
      </c>
      <c r="AS101" s="143"/>
      <c r="AT101" s="143"/>
      <c r="AU101" s="143"/>
      <c r="AV101" s="143" t="s">
        <v>421</v>
      </c>
      <c r="AW101" s="148"/>
      <c r="AX101" s="148"/>
      <c r="AY101" s="143"/>
      <c r="AZ101" s="143"/>
      <c r="BA101" s="143"/>
      <c r="BB101" s="143" t="s">
        <v>422</v>
      </c>
      <c r="BC101" s="142">
        <v>0</v>
      </c>
      <c r="BD101" s="142">
        <v>0</v>
      </c>
      <c r="BE101" s="142">
        <v>0.48399999999999999</v>
      </c>
      <c r="BF101" s="142">
        <v>14.284000000000001</v>
      </c>
      <c r="BG101" s="142">
        <v>0.50600000000000001</v>
      </c>
      <c r="BH101" s="142">
        <v>29.491</v>
      </c>
      <c r="BI101" s="142">
        <v>0.75700000000000001</v>
      </c>
      <c r="BJ101" s="142">
        <v>0</v>
      </c>
      <c r="BK101" s="142">
        <v>0.44900000000000001</v>
      </c>
      <c r="BL101" s="142">
        <v>0</v>
      </c>
      <c r="BM101" s="142">
        <v>0</v>
      </c>
      <c r="BN101" s="142">
        <v>8.2000000000000003E-2</v>
      </c>
      <c r="BO101" s="142">
        <v>0</v>
      </c>
      <c r="BP101" s="142">
        <v>0</v>
      </c>
      <c r="BQ101" s="142">
        <v>0.90400000000000003</v>
      </c>
      <c r="BR101" s="142">
        <v>0.44900000000000001</v>
      </c>
      <c r="BS101" s="142">
        <v>0.45500000000000002</v>
      </c>
      <c r="BT101" s="142">
        <v>2</v>
      </c>
      <c r="BU101" s="142">
        <v>24.3</v>
      </c>
      <c r="BV101" s="142">
        <v>106.3</v>
      </c>
      <c r="BW101" s="143" t="s">
        <v>419</v>
      </c>
    </row>
    <row r="102" spans="5:75">
      <c r="E102" s="143" t="s">
        <v>344</v>
      </c>
      <c r="F102" s="153" t="s">
        <v>423</v>
      </c>
      <c r="G102" s="143" t="s">
        <v>525</v>
      </c>
      <c r="H102" s="153" t="s">
        <v>526</v>
      </c>
      <c r="I102" s="144" t="s">
        <v>527</v>
      </c>
      <c r="J102" s="144" t="s">
        <v>460</v>
      </c>
      <c r="K102" s="144"/>
      <c r="L102" s="144"/>
      <c r="M102" s="147">
        <v>152623</v>
      </c>
      <c r="N102" s="146">
        <v>28000</v>
      </c>
      <c r="O102" s="142" t="s">
        <v>613</v>
      </c>
      <c r="P102" s="143" t="s">
        <v>37</v>
      </c>
      <c r="Q102" s="143" t="s">
        <v>428</v>
      </c>
      <c r="R102" s="147">
        <v>140000</v>
      </c>
      <c r="S102" s="146">
        <v>44450</v>
      </c>
      <c r="T102" s="148">
        <v>40087</v>
      </c>
      <c r="U102" s="149"/>
      <c r="V102" s="150">
        <v>10</v>
      </c>
      <c r="W102" s="143"/>
      <c r="X102" s="143"/>
      <c r="Y102" s="143" t="s">
        <v>527</v>
      </c>
      <c r="Z102" s="143"/>
      <c r="AA102" s="143"/>
      <c r="AB102" s="143"/>
      <c r="AC102" s="143"/>
      <c r="AD102" s="143" t="s">
        <v>460</v>
      </c>
      <c r="AE102" s="143"/>
      <c r="AF102" s="143" t="s">
        <v>416</v>
      </c>
      <c r="AG102" s="143"/>
      <c r="AH102" s="143"/>
      <c r="AI102" s="143"/>
      <c r="AJ102" s="143"/>
      <c r="AK102" s="143"/>
      <c r="AL102" s="143"/>
      <c r="AM102" s="143"/>
      <c r="AN102" s="143"/>
      <c r="AO102" s="143"/>
      <c r="AP102" s="143"/>
      <c r="AQ102" s="143" t="s">
        <v>529</v>
      </c>
      <c r="AR102" s="143" t="s">
        <v>39</v>
      </c>
      <c r="AS102" s="143"/>
      <c r="AT102" s="143"/>
      <c r="AU102" s="143"/>
      <c r="AV102" s="143" t="s">
        <v>421</v>
      </c>
      <c r="AW102" s="148"/>
      <c r="AX102" s="148"/>
      <c r="AY102" s="143"/>
      <c r="AZ102" s="143"/>
      <c r="BA102" s="143"/>
      <c r="BB102" s="143" t="s">
        <v>422</v>
      </c>
      <c r="BC102" s="142">
        <v>0</v>
      </c>
      <c r="BD102" s="142">
        <v>0</v>
      </c>
      <c r="BE102" s="142">
        <v>0.48399999999999999</v>
      </c>
      <c r="BF102" s="142">
        <v>16.664999999999999</v>
      </c>
      <c r="BG102" s="142">
        <v>0.50600000000000001</v>
      </c>
      <c r="BH102" s="142">
        <v>34.405999999999999</v>
      </c>
      <c r="BI102" s="142">
        <v>0.75700000000000001</v>
      </c>
      <c r="BJ102" s="142">
        <v>0</v>
      </c>
      <c r="BK102" s="142">
        <v>0.44900000000000001</v>
      </c>
      <c r="BL102" s="142">
        <v>0</v>
      </c>
      <c r="BM102" s="142">
        <v>0</v>
      </c>
      <c r="BN102" s="142">
        <v>8.2000000000000003E-2</v>
      </c>
      <c r="BO102" s="142">
        <v>0</v>
      </c>
      <c r="BP102" s="142">
        <v>0</v>
      </c>
      <c r="BQ102" s="142">
        <v>0.90400000000000003</v>
      </c>
      <c r="BR102" s="142">
        <v>0.44900000000000001</v>
      </c>
      <c r="BS102" s="142">
        <v>0.45500000000000002</v>
      </c>
      <c r="BT102" s="142">
        <v>2</v>
      </c>
      <c r="BU102" s="142">
        <v>24.3</v>
      </c>
      <c r="BV102" s="142">
        <v>124</v>
      </c>
      <c r="BW102" s="143" t="s">
        <v>419</v>
      </c>
    </row>
    <row r="103" spans="5:75">
      <c r="E103" s="143" t="s">
        <v>344</v>
      </c>
      <c r="F103" s="153" t="s">
        <v>423</v>
      </c>
      <c r="G103" s="143" t="s">
        <v>525</v>
      </c>
      <c r="H103" s="153" t="s">
        <v>526</v>
      </c>
      <c r="I103" s="144" t="s">
        <v>527</v>
      </c>
      <c r="J103" s="144" t="s">
        <v>462</v>
      </c>
      <c r="K103" s="144"/>
      <c r="L103" s="144"/>
      <c r="M103" s="147">
        <v>174427</v>
      </c>
      <c r="N103" s="146">
        <v>32000</v>
      </c>
      <c r="O103" s="142" t="s">
        <v>614</v>
      </c>
      <c r="P103" s="143" t="s">
        <v>37</v>
      </c>
      <c r="Q103" s="143" t="s">
        <v>428</v>
      </c>
      <c r="R103" s="147">
        <v>160000</v>
      </c>
      <c r="S103" s="146">
        <v>50800</v>
      </c>
      <c r="T103" s="148">
        <v>40087</v>
      </c>
      <c r="U103" s="149"/>
      <c r="V103" s="150">
        <v>10</v>
      </c>
      <c r="W103" s="143"/>
      <c r="X103" s="143"/>
      <c r="Y103" s="143" t="s">
        <v>527</v>
      </c>
      <c r="Z103" s="143"/>
      <c r="AA103" s="143"/>
      <c r="AB103" s="143"/>
      <c r="AC103" s="143"/>
      <c r="AD103" s="143" t="s">
        <v>462</v>
      </c>
      <c r="AE103" s="143"/>
      <c r="AF103" s="143" t="s">
        <v>416</v>
      </c>
      <c r="AG103" s="143"/>
      <c r="AH103" s="143"/>
      <c r="AI103" s="143"/>
      <c r="AJ103" s="143"/>
      <c r="AK103" s="143"/>
      <c r="AL103" s="143"/>
      <c r="AM103" s="143"/>
      <c r="AN103" s="143"/>
      <c r="AO103" s="143"/>
      <c r="AP103" s="143"/>
      <c r="AQ103" s="143" t="s">
        <v>529</v>
      </c>
      <c r="AR103" s="143" t="s">
        <v>39</v>
      </c>
      <c r="AS103" s="143"/>
      <c r="AT103" s="143"/>
      <c r="AU103" s="143"/>
      <c r="AV103" s="143" t="s">
        <v>421</v>
      </c>
      <c r="AW103" s="148"/>
      <c r="AX103" s="148"/>
      <c r="AY103" s="143"/>
      <c r="AZ103" s="143"/>
      <c r="BA103" s="143"/>
      <c r="BB103" s="143" t="s">
        <v>422</v>
      </c>
      <c r="BC103" s="142">
        <v>0</v>
      </c>
      <c r="BD103" s="142">
        <v>0</v>
      </c>
      <c r="BE103" s="142">
        <v>0.48399999999999999</v>
      </c>
      <c r="BF103" s="142">
        <v>19.045999999999999</v>
      </c>
      <c r="BG103" s="142">
        <v>0.50600000000000001</v>
      </c>
      <c r="BH103" s="142">
        <v>39.320999999999998</v>
      </c>
      <c r="BI103" s="142">
        <v>0.75700000000000001</v>
      </c>
      <c r="BJ103" s="142">
        <v>0</v>
      </c>
      <c r="BK103" s="142">
        <v>0.44900000000000001</v>
      </c>
      <c r="BL103" s="142">
        <v>0</v>
      </c>
      <c r="BM103" s="142">
        <v>0</v>
      </c>
      <c r="BN103" s="142">
        <v>8.2000000000000003E-2</v>
      </c>
      <c r="BO103" s="142">
        <v>0</v>
      </c>
      <c r="BP103" s="142">
        <v>0</v>
      </c>
      <c r="BQ103" s="142">
        <v>0.90400000000000003</v>
      </c>
      <c r="BR103" s="142">
        <v>0.44900000000000001</v>
      </c>
      <c r="BS103" s="142">
        <v>0.45500000000000002</v>
      </c>
      <c r="BT103" s="142">
        <v>2</v>
      </c>
      <c r="BU103" s="142">
        <v>24.3</v>
      </c>
      <c r="BV103" s="142">
        <v>141.69999999999999</v>
      </c>
      <c r="BW103" s="143" t="s">
        <v>419</v>
      </c>
    </row>
    <row r="104" spans="5:75">
      <c r="E104" s="143" t="s">
        <v>344</v>
      </c>
      <c r="F104" s="153" t="s">
        <v>423</v>
      </c>
      <c r="G104" s="143" t="s">
        <v>525</v>
      </c>
      <c r="H104" s="153" t="s">
        <v>526</v>
      </c>
      <c r="I104" s="144" t="s">
        <v>527</v>
      </c>
      <c r="J104" s="144" t="s">
        <v>464</v>
      </c>
      <c r="K104" s="144"/>
      <c r="L104" s="144"/>
      <c r="M104" s="147">
        <v>196230</v>
      </c>
      <c r="N104" s="146">
        <v>36000</v>
      </c>
      <c r="O104" s="142" t="s">
        <v>615</v>
      </c>
      <c r="P104" s="143" t="s">
        <v>37</v>
      </c>
      <c r="Q104" s="143" t="s">
        <v>428</v>
      </c>
      <c r="R104" s="147">
        <v>180000</v>
      </c>
      <c r="S104" s="146">
        <v>57150</v>
      </c>
      <c r="T104" s="148">
        <v>40087</v>
      </c>
      <c r="U104" s="149"/>
      <c r="V104" s="150">
        <v>10</v>
      </c>
      <c r="W104" s="143"/>
      <c r="X104" s="143"/>
      <c r="Y104" s="143" t="s">
        <v>527</v>
      </c>
      <c r="Z104" s="143"/>
      <c r="AA104" s="143"/>
      <c r="AB104" s="143"/>
      <c r="AC104" s="143"/>
      <c r="AD104" s="143" t="s">
        <v>464</v>
      </c>
      <c r="AE104" s="143"/>
      <c r="AF104" s="143" t="s">
        <v>416</v>
      </c>
      <c r="AG104" s="143"/>
      <c r="AH104" s="143"/>
      <c r="AI104" s="143"/>
      <c r="AJ104" s="143"/>
      <c r="AK104" s="143"/>
      <c r="AL104" s="143"/>
      <c r="AM104" s="143"/>
      <c r="AN104" s="143"/>
      <c r="AO104" s="143"/>
      <c r="AP104" s="143"/>
      <c r="AQ104" s="143" t="s">
        <v>529</v>
      </c>
      <c r="AR104" s="143" t="s">
        <v>39</v>
      </c>
      <c r="AS104" s="143"/>
      <c r="AT104" s="143"/>
      <c r="AU104" s="143"/>
      <c r="AV104" s="143" t="s">
        <v>421</v>
      </c>
      <c r="AW104" s="148"/>
      <c r="AX104" s="148"/>
      <c r="AY104" s="143"/>
      <c r="AZ104" s="143"/>
      <c r="BA104" s="143"/>
      <c r="BB104" s="143" t="s">
        <v>422</v>
      </c>
      <c r="BC104" s="142">
        <v>0</v>
      </c>
      <c r="BD104" s="142">
        <v>0</v>
      </c>
      <c r="BE104" s="142">
        <v>0.48399999999999999</v>
      </c>
      <c r="BF104" s="142">
        <v>21.427</v>
      </c>
      <c r="BG104" s="142">
        <v>0.50600000000000001</v>
      </c>
      <c r="BH104" s="142">
        <v>44.235999999999997</v>
      </c>
      <c r="BI104" s="142">
        <v>0.75700000000000001</v>
      </c>
      <c r="BJ104" s="142">
        <v>0</v>
      </c>
      <c r="BK104" s="142">
        <v>0.44900000000000001</v>
      </c>
      <c r="BL104" s="142">
        <v>0</v>
      </c>
      <c r="BM104" s="142">
        <v>0</v>
      </c>
      <c r="BN104" s="142">
        <v>8.2000000000000003E-2</v>
      </c>
      <c r="BO104" s="142">
        <v>0</v>
      </c>
      <c r="BP104" s="142">
        <v>0</v>
      </c>
      <c r="BQ104" s="142">
        <v>0.90400000000000003</v>
      </c>
      <c r="BR104" s="142">
        <v>0.44900000000000001</v>
      </c>
      <c r="BS104" s="142">
        <v>0.45500000000000002</v>
      </c>
      <c r="BT104" s="142">
        <v>2</v>
      </c>
      <c r="BU104" s="142">
        <v>24.3</v>
      </c>
      <c r="BV104" s="142">
        <v>159.4</v>
      </c>
      <c r="BW104" s="143" t="s">
        <v>419</v>
      </c>
    </row>
    <row r="105" spans="5:75">
      <c r="E105" s="143" t="s">
        <v>344</v>
      </c>
      <c r="F105" s="153" t="s">
        <v>423</v>
      </c>
      <c r="G105" s="143" t="s">
        <v>525</v>
      </c>
      <c r="H105" s="153" t="s">
        <v>526</v>
      </c>
      <c r="I105" s="144" t="s">
        <v>527</v>
      </c>
      <c r="J105" s="144" t="s">
        <v>466</v>
      </c>
      <c r="K105" s="144"/>
      <c r="L105" s="144"/>
      <c r="M105" s="147">
        <v>218033</v>
      </c>
      <c r="N105" s="146">
        <v>40000</v>
      </c>
      <c r="O105" s="142" t="s">
        <v>616</v>
      </c>
      <c r="P105" s="143" t="s">
        <v>37</v>
      </c>
      <c r="Q105" s="143" t="s">
        <v>428</v>
      </c>
      <c r="R105" s="147">
        <v>200000</v>
      </c>
      <c r="S105" s="146">
        <v>63500</v>
      </c>
      <c r="T105" s="148">
        <v>40087</v>
      </c>
      <c r="U105" s="149"/>
      <c r="V105" s="150">
        <v>10</v>
      </c>
      <c r="W105" s="143"/>
      <c r="X105" s="143"/>
      <c r="Y105" s="143" t="s">
        <v>527</v>
      </c>
      <c r="Z105" s="143"/>
      <c r="AA105" s="143"/>
      <c r="AB105" s="143"/>
      <c r="AC105" s="143"/>
      <c r="AD105" s="143" t="s">
        <v>466</v>
      </c>
      <c r="AE105" s="143"/>
      <c r="AF105" s="143" t="s">
        <v>416</v>
      </c>
      <c r="AG105" s="143"/>
      <c r="AH105" s="143"/>
      <c r="AI105" s="143"/>
      <c r="AJ105" s="143"/>
      <c r="AK105" s="143"/>
      <c r="AL105" s="143"/>
      <c r="AM105" s="143"/>
      <c r="AN105" s="143"/>
      <c r="AO105" s="143"/>
      <c r="AP105" s="143"/>
      <c r="AQ105" s="143" t="s">
        <v>529</v>
      </c>
      <c r="AR105" s="143" t="s">
        <v>39</v>
      </c>
      <c r="AS105" s="143"/>
      <c r="AT105" s="143"/>
      <c r="AU105" s="143"/>
      <c r="AV105" s="143" t="s">
        <v>421</v>
      </c>
      <c r="AW105" s="148"/>
      <c r="AX105" s="148"/>
      <c r="AY105" s="143"/>
      <c r="AZ105" s="143"/>
      <c r="BA105" s="143"/>
      <c r="BB105" s="143" t="s">
        <v>422</v>
      </c>
      <c r="BC105" s="142">
        <v>0</v>
      </c>
      <c r="BD105" s="142">
        <v>0</v>
      </c>
      <c r="BE105" s="142">
        <v>0.48399999999999999</v>
      </c>
      <c r="BF105" s="142">
        <v>23.806999999999999</v>
      </c>
      <c r="BG105" s="142">
        <v>0.50600000000000001</v>
      </c>
      <c r="BH105" s="142">
        <v>49.151000000000003</v>
      </c>
      <c r="BI105" s="142">
        <v>0.75700000000000001</v>
      </c>
      <c r="BJ105" s="142">
        <v>0</v>
      </c>
      <c r="BK105" s="142">
        <v>0.44900000000000001</v>
      </c>
      <c r="BL105" s="142">
        <v>0</v>
      </c>
      <c r="BM105" s="142">
        <v>0</v>
      </c>
      <c r="BN105" s="142">
        <v>8.2000000000000003E-2</v>
      </c>
      <c r="BO105" s="142">
        <v>0</v>
      </c>
      <c r="BP105" s="142">
        <v>0</v>
      </c>
      <c r="BQ105" s="142">
        <v>0.90400000000000003</v>
      </c>
      <c r="BR105" s="142">
        <v>0.44900000000000001</v>
      </c>
      <c r="BS105" s="142">
        <v>0.45500000000000002</v>
      </c>
      <c r="BT105" s="142">
        <v>2</v>
      </c>
      <c r="BU105" s="142">
        <v>24.3</v>
      </c>
      <c r="BV105" s="142">
        <v>177.2</v>
      </c>
      <c r="BW105" s="143" t="s">
        <v>419</v>
      </c>
    </row>
  </sheetData>
  <dataValidations count="11">
    <dataValidation type="list" allowBlank="1" showInputMessage="1" showErrorMessage="1" sqref="X81">
      <formula1>All_DelMech</formula1>
    </dataValidation>
    <dataValidation type="list" allowBlank="1" showInputMessage="1" showErrorMessage="1" sqref="Z81">
      <formula1>Res_EffCase2</formula1>
    </dataValidation>
    <dataValidation type="list" allowBlank="1" showInputMessage="1" showErrorMessage="1" sqref="Y99 Y105 Y103 Y96:Y97 Y93 Y81:Y84 Y101">
      <formula1>Res_EffCase1</formula1>
    </dataValidation>
    <dataValidation type="list" allowBlank="1" showInputMessage="1" showErrorMessage="1" sqref="AF81">
      <formula1>All_EffLevel</formula1>
    </dataValidation>
    <dataValidation type="list" allowBlank="1" showInputMessage="1" showErrorMessage="1" sqref="AH81">
      <formula1>All_UnitType</formula1>
    </dataValidation>
    <dataValidation type="list" allowBlank="1" showInputMessage="1" showErrorMessage="1" sqref="AS81">
      <formula1>All_Program</formula1>
    </dataValidation>
    <dataValidation type="list" allowBlank="1" showInputMessage="1" showErrorMessage="1" sqref="H20:H27 H29:H51">
      <formula1>Res_Techs</formula1>
    </dataValidation>
    <dataValidation type="list" allowBlank="1" showInputMessage="1" showErrorMessage="1" sqref="F20:F51">
      <formula1>Res_EndUse</formula1>
    </dataValidation>
    <dataValidation type="list" allowBlank="1" showInputMessage="1" showErrorMessage="1" sqref="E1:E2 E20:E51">
      <formula1>"Residential, Commercial, Agricultural, Industrial"</formula1>
    </dataValidation>
    <dataValidation type="list" allowBlank="1" showInputMessage="1" showErrorMessage="1" sqref="Q1:Q2">
      <formula1>Res_BldgTypes</formula1>
    </dataValidation>
    <dataValidation type="list" allowBlank="1" showInputMessage="1" showErrorMessage="1" sqref="G3:G105">
      <formula1>Res_Cat</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N3"/>
  <sheetViews>
    <sheetView workbookViewId="0">
      <selection activeCell="N3" sqref="A1:N3"/>
    </sheetView>
  </sheetViews>
  <sheetFormatPr defaultRowHeight="15.75"/>
  <cols>
    <col min="1" max="1" width="16.25" customWidth="1"/>
    <col min="2" max="13" width="6" customWidth="1"/>
    <col min="14" max="14" width="5.875" customWidth="1"/>
  </cols>
  <sheetData>
    <row r="1" spans="1:14" ht="16.5" thickBot="1">
      <c r="A1" s="432" t="s">
        <v>675</v>
      </c>
      <c r="B1" s="431">
        <v>0</v>
      </c>
      <c r="C1" s="296">
        <v>0</v>
      </c>
      <c r="D1" s="296">
        <v>0</v>
      </c>
      <c r="E1" s="296">
        <v>0</v>
      </c>
      <c r="F1" s="296">
        <v>0</v>
      </c>
      <c r="G1" s="296">
        <v>0.05</v>
      </c>
      <c r="H1" s="296">
        <v>0.4</v>
      </c>
      <c r="I1" s="296">
        <v>0.3</v>
      </c>
      <c r="J1" s="296">
        <v>0.1</v>
      </c>
      <c r="K1" s="296">
        <v>0.05</v>
      </c>
      <c r="L1" s="296">
        <v>0.05</v>
      </c>
      <c r="M1" s="296">
        <v>0.05</v>
      </c>
      <c r="N1" s="297">
        <v>1</v>
      </c>
    </row>
    <row r="2" spans="1:14">
      <c r="A2" s="432" t="s">
        <v>853</v>
      </c>
      <c r="B2" s="430" t="s">
        <v>710</v>
      </c>
      <c r="C2" s="181">
        <v>0</v>
      </c>
      <c r="D2" s="181">
        <v>0.1</v>
      </c>
      <c r="E2" s="181">
        <v>0.2</v>
      </c>
      <c r="F2" s="181">
        <v>0.3</v>
      </c>
      <c r="G2" s="181">
        <v>0.4</v>
      </c>
      <c r="H2" s="181">
        <v>0.5</v>
      </c>
      <c r="I2" s="181">
        <v>0.6</v>
      </c>
      <c r="J2" s="181">
        <v>0.7</v>
      </c>
      <c r="K2" s="181">
        <v>0.8</v>
      </c>
      <c r="L2" s="181">
        <v>0.9</v>
      </c>
      <c r="M2" s="181">
        <v>1</v>
      </c>
      <c r="N2" s="182" t="s">
        <v>99</v>
      </c>
    </row>
    <row r="3" spans="1:14">
      <c r="A3" s="432" t="s">
        <v>854</v>
      </c>
      <c r="B3" s="433" t="s">
        <v>786</v>
      </c>
      <c r="C3" s="434">
        <f>$M3*C2</f>
        <v>0</v>
      </c>
      <c r="D3" s="434">
        <f t="shared" ref="D3:L3" si="0">$M3*D2</f>
        <v>142.5</v>
      </c>
      <c r="E3" s="434">
        <f t="shared" si="0"/>
        <v>285</v>
      </c>
      <c r="F3" s="434">
        <f t="shared" si="0"/>
        <v>427.5</v>
      </c>
      <c r="G3" s="434">
        <f t="shared" si="0"/>
        <v>570</v>
      </c>
      <c r="H3" s="434">
        <f t="shared" si="0"/>
        <v>712.5</v>
      </c>
      <c r="I3" s="434">
        <f t="shared" si="0"/>
        <v>855</v>
      </c>
      <c r="J3" s="434">
        <f t="shared" si="0"/>
        <v>997.49999999999989</v>
      </c>
      <c r="K3" s="434">
        <f t="shared" si="0"/>
        <v>1140</v>
      </c>
      <c r="L3" s="434">
        <f t="shared" si="0"/>
        <v>1282.5</v>
      </c>
      <c r="M3" s="434">
        <v>1425</v>
      </c>
      <c r="N3" s="435" t="s">
        <v>855</v>
      </c>
    </row>
  </sheetData>
  <conditionalFormatting sqref="N1">
    <cfRule type="cellIs" dxfId="2" priority="1" operator="equal">
      <formula>1</formula>
    </cfRule>
    <cfRule type="cellIs" dxfId="1" priority="2" operator="lessThan">
      <formula>1</formula>
    </cfRule>
    <cfRule type="cellIs" dxfId="0" priority="3"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19</vt:i4>
      </vt:variant>
    </vt:vector>
  </HeadingPairs>
  <TitlesOfParts>
    <vt:vector size="34" baseType="lpstr">
      <vt:lpstr>CustMeas</vt:lpstr>
      <vt:lpstr>COTR</vt:lpstr>
      <vt:lpstr>ProjectBC</vt:lpstr>
      <vt:lpstr>VFD Application</vt:lpstr>
      <vt:lpstr>VFD Calculations</vt:lpstr>
      <vt:lpstr>Billing History</vt:lpstr>
      <vt:lpstr>Pivot Tables</vt:lpstr>
      <vt:lpstr>LSYield</vt:lpstr>
      <vt:lpstr>ShapePV</vt:lpstr>
      <vt:lpstr>BugList</vt:lpstr>
      <vt:lpstr>LSYield2</vt:lpstr>
      <vt:lpstr>uploaddata</vt:lpstr>
      <vt:lpstr>Deemed Measures</vt:lpstr>
      <vt:lpstr>Sheet1</vt:lpstr>
      <vt:lpstr>Box Plot</vt:lpstr>
      <vt:lpstr>BC_Ratio</vt:lpstr>
      <vt:lpstr>LSYield2!Btype</vt:lpstr>
      <vt:lpstr>Btype</vt:lpstr>
      <vt:lpstr>LSYield2!BTypeNames</vt:lpstr>
      <vt:lpstr>BTypeNames</vt:lpstr>
      <vt:lpstr>DiscountRate</vt:lpstr>
      <vt:lpstr>LSYield2!LSYield</vt:lpstr>
      <vt:lpstr>LSYield</vt:lpstr>
      <vt:lpstr>NPV_kWh</vt:lpstr>
      <vt:lpstr>CustMeas!Print_Area</vt:lpstr>
      <vt:lpstr>'VFD Application'!Print_Area</vt:lpstr>
      <vt:lpstr>'VFD Calculations'!Print_Area</vt:lpstr>
      <vt:lpstr>'VFD Calculations'!Print_Titles</vt:lpstr>
      <vt:lpstr>Rate_Sch</vt:lpstr>
      <vt:lpstr>LSYield2!SpaceHeat</vt:lpstr>
      <vt:lpstr>SpaceHeat</vt:lpstr>
      <vt:lpstr>LSYield2!SpaceHeatNames</vt:lpstr>
      <vt:lpstr>SpaceHeatNames</vt:lpstr>
      <vt:lpstr>TRC_Lookup</vt:lpstr>
    </vt:vector>
  </TitlesOfParts>
  <Company>Bonneville Power 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ESO Drop-Down</dc:title>
  <dc:creator>Craig Ciranny</dc:creator>
  <cp:lastModifiedBy>susang</cp:lastModifiedBy>
  <cp:lastPrinted>2012-08-23T21:26:38Z</cp:lastPrinted>
  <dcterms:created xsi:type="dcterms:W3CDTF">2002-09-20T19:14:56Z</dcterms:created>
  <dcterms:modified xsi:type="dcterms:W3CDTF">2012-09-06T20:34:58Z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